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wishart1\Documents\Business and COVID paper\Datasets\"/>
    </mc:Choice>
  </mc:AlternateContent>
  <xr:revisionPtr revIDLastSave="0" documentId="8_{D257CADE-FCD8-4EDD-AEEA-8FD41938079E}" xr6:coauthVersionLast="36" xr6:coauthVersionMax="36" xr10:uidLastSave="{00000000-0000-0000-0000-000000000000}"/>
  <bookViews>
    <workbookView xWindow="0" yWindow="0" windowWidth="23040" windowHeight="9060" tabRatio="859" firstSheet="3" activeTab="5" xr2:uid="{8417F7A8-A54F-4E32-B4C7-C1E4E62B1F2F}"/>
  </bookViews>
  <sheets>
    <sheet name="Summary&amp;Graphs" sheetId="8" r:id="rId1"/>
    <sheet name="PandemicProfitSample" sheetId="11" r:id="rId2"/>
    <sheet name="OilLossShareholderGain" sheetId="10" r:id="rId3"/>
    <sheet name="Payouts-Apparel" sheetId="13" r:id="rId4"/>
    <sheet name="DATA-ProfitsFullSample" sheetId="5" r:id="rId5"/>
    <sheet name="DATA-PayoutsFullSample " sheetId="6" r:id="rId6"/>
    <sheet name="GlobalSample" sheetId="9" r:id="rId7"/>
  </sheets>
  <definedNames>
    <definedName name="_xlnm._FilterDatabase" localSheetId="5" hidden="1">'DATA-PayoutsFullSample '!$A$2:$AG$61</definedName>
    <definedName name="_xlnm._FilterDatabase" localSheetId="4" hidden="1">'DATA-ProfitsFullSample'!$A$1:$AD$60</definedName>
    <definedName name="_xlnm._FilterDatabase" localSheetId="6" hidden="1">GlobalSample!$A$1:$F$1</definedName>
    <definedName name="_xlnm._FilterDatabase" localSheetId="1" hidden="1">PandemicProfitSample!$A$1:$Z$33</definedName>
    <definedName name="_xlnm._FilterDatabase" localSheetId="3" hidden="1">'Payouts-Apparel'!$A$1:$S$1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64" i="6" l="1"/>
  <c r="J62" i="5" l="1"/>
  <c r="AG64" i="6" l="1"/>
  <c r="E38" i="11"/>
  <c r="I38" i="11" s="1"/>
  <c r="K38" i="11" s="1"/>
  <c r="F38" i="11"/>
  <c r="G38" i="11"/>
  <c r="H38" i="11"/>
  <c r="J38" i="11"/>
  <c r="AA70" i="6"/>
  <c r="AA21" i="6"/>
  <c r="V72" i="6" l="1"/>
  <c r="AD73" i="6" s="1"/>
  <c r="U72" i="6"/>
  <c r="AA73" i="6" s="1"/>
  <c r="T72" i="6"/>
  <c r="S72" i="6"/>
  <c r="R72" i="6"/>
  <c r="Q72" i="6"/>
  <c r="P72" i="6"/>
  <c r="O72" i="6"/>
  <c r="N72" i="6"/>
  <c r="M72" i="6"/>
  <c r="L72" i="6"/>
  <c r="K72" i="6"/>
  <c r="J72" i="6"/>
  <c r="AC72" i="6" s="1"/>
  <c r="I72" i="6"/>
  <c r="H72" i="6"/>
  <c r="G72" i="6"/>
  <c r="W73" i="6" l="1"/>
  <c r="AB73" i="6" s="1"/>
  <c r="X73" i="6"/>
  <c r="Y73" i="6"/>
  <c r="Z73" i="6"/>
  <c r="AF73" i="6" s="1"/>
  <c r="R16" i="13"/>
  <c r="S17" i="13" l="1"/>
  <c r="R17" i="13"/>
  <c r="P17" i="13"/>
  <c r="E64" i="6"/>
  <c r="F64" i="6"/>
  <c r="G64" i="6"/>
  <c r="H64" i="6"/>
  <c r="I64" i="6"/>
  <c r="J64" i="6"/>
  <c r="Z58" i="6"/>
  <c r="Y17" i="6"/>
  <c r="Y38" i="6"/>
  <c r="Y31" i="6"/>
  <c r="W38" i="6"/>
  <c r="W43" i="6"/>
  <c r="AC61" i="6"/>
  <c r="S13" i="11"/>
  <c r="P13" i="11"/>
  <c r="I13" i="11"/>
  <c r="X13" i="11" s="1"/>
  <c r="Y13" i="11" s="1"/>
  <c r="Z13" i="11" s="1"/>
  <c r="J19" i="6"/>
  <c r="K13" i="11" l="1"/>
  <c r="R13" i="11"/>
  <c r="T13" i="11" s="1"/>
  <c r="U13" i="11"/>
  <c r="P3" i="13" l="1"/>
  <c r="Q3" i="13"/>
  <c r="R3" i="13"/>
  <c r="P4" i="13"/>
  <c r="Q4" i="13"/>
  <c r="R4" i="13"/>
  <c r="S4" i="13"/>
  <c r="P5" i="13"/>
  <c r="P6" i="13"/>
  <c r="Q6" i="13"/>
  <c r="R6" i="13"/>
  <c r="S6" i="13"/>
  <c r="P7" i="13"/>
  <c r="Q7" i="13"/>
  <c r="R7" i="13"/>
  <c r="S7" i="13"/>
  <c r="P8" i="13"/>
  <c r="Q8" i="13"/>
  <c r="R8" i="13"/>
  <c r="S8" i="13"/>
  <c r="P9" i="13"/>
  <c r="Q9" i="13"/>
  <c r="R9" i="13"/>
  <c r="S9" i="13"/>
  <c r="P10" i="13"/>
  <c r="Q10" i="13"/>
  <c r="R10" i="13"/>
  <c r="S10" i="13"/>
  <c r="P11" i="13"/>
  <c r="Q11" i="13"/>
  <c r="R11" i="13"/>
  <c r="S11" i="13"/>
  <c r="P12" i="13"/>
  <c r="Q12" i="13"/>
  <c r="R12" i="13"/>
  <c r="S12" i="13"/>
  <c r="D16" i="13"/>
  <c r="E16" i="13"/>
  <c r="F16" i="13"/>
  <c r="G16" i="13"/>
  <c r="H16" i="13"/>
  <c r="I16" i="13"/>
  <c r="J16" i="13"/>
  <c r="K16" i="13"/>
  <c r="L16" i="13"/>
  <c r="P16" i="13" s="1"/>
  <c r="M16" i="13"/>
  <c r="N16" i="13"/>
  <c r="O16" i="13"/>
  <c r="S16" i="13" s="1"/>
  <c r="Q16" i="13" l="1"/>
  <c r="Q17" i="13"/>
  <c r="F72" i="6"/>
  <c r="E72" i="6"/>
  <c r="AA72" i="6" l="1"/>
  <c r="W14" i="11"/>
  <c r="S14" i="11"/>
  <c r="P14" i="11"/>
  <c r="I14" i="11"/>
  <c r="K14" i="11" s="1"/>
  <c r="AA12" i="6"/>
  <c r="R14" i="11" l="1"/>
  <c r="T14" i="11" s="1"/>
  <c r="X14" i="11"/>
  <c r="Y14" i="11" s="1"/>
  <c r="Z14" i="11" s="1"/>
  <c r="U14" i="11"/>
  <c r="W11" i="5"/>
  <c r="S11" i="5"/>
  <c r="AC28" i="6"/>
  <c r="AA61" i="6"/>
  <c r="AA6" i="6"/>
  <c r="U75" i="6" l="1"/>
  <c r="T75" i="6"/>
  <c r="S75" i="6"/>
  <c r="R75" i="6"/>
  <c r="Q75" i="6"/>
  <c r="O75" i="6"/>
  <c r="N75" i="6"/>
  <c r="M75" i="6"/>
  <c r="L75" i="6"/>
  <c r="K75" i="6"/>
  <c r="I75" i="6"/>
  <c r="H75" i="6"/>
  <c r="G75" i="6"/>
  <c r="F75" i="6"/>
  <c r="E75" i="6"/>
  <c r="D13" i="10"/>
  <c r="D11" i="10"/>
  <c r="C11" i="10"/>
  <c r="B11" i="10"/>
  <c r="W2" i="11"/>
  <c r="S2" i="11"/>
  <c r="P2" i="11"/>
  <c r="I2" i="11"/>
  <c r="K2" i="11" s="1"/>
  <c r="W8" i="11"/>
  <c r="S8" i="11"/>
  <c r="P8" i="11"/>
  <c r="I8" i="11"/>
  <c r="U8" i="11" s="1"/>
  <c r="W24" i="11"/>
  <c r="S24" i="11"/>
  <c r="P24" i="11"/>
  <c r="I24" i="11"/>
  <c r="K24" i="11" s="1"/>
  <c r="W6" i="11"/>
  <c r="S6" i="11"/>
  <c r="P6" i="11"/>
  <c r="I6" i="11"/>
  <c r="U6" i="11" s="1"/>
  <c r="W3" i="11"/>
  <c r="S3" i="11"/>
  <c r="P3" i="11"/>
  <c r="I3" i="11"/>
  <c r="K3" i="11" s="1"/>
  <c r="W11" i="11"/>
  <c r="S11" i="11"/>
  <c r="P11" i="11"/>
  <c r="I11" i="11"/>
  <c r="U11" i="11" s="1"/>
  <c r="S5" i="11"/>
  <c r="P5" i="11"/>
  <c r="I5" i="11"/>
  <c r="X5" i="11" s="1"/>
  <c r="Y5" i="11" s="1"/>
  <c r="Z5" i="11" s="1"/>
  <c r="W10" i="11"/>
  <c r="S10" i="11"/>
  <c r="P10" i="11"/>
  <c r="I10" i="11"/>
  <c r="U10" i="11" s="1"/>
  <c r="W4" i="11"/>
  <c r="S4" i="11"/>
  <c r="P4" i="11"/>
  <c r="I4" i="11"/>
  <c r="W12" i="11"/>
  <c r="S12" i="11"/>
  <c r="P12" i="11"/>
  <c r="I12" i="11"/>
  <c r="U12" i="11" s="1"/>
  <c r="W7" i="11"/>
  <c r="S7" i="11"/>
  <c r="P7" i="11"/>
  <c r="I7" i="11"/>
  <c r="W9" i="11"/>
  <c r="S9" i="11"/>
  <c r="P9" i="11"/>
  <c r="I9" i="11"/>
  <c r="U9" i="11" s="1"/>
  <c r="W20" i="11"/>
  <c r="S20" i="11"/>
  <c r="P20" i="11"/>
  <c r="I20" i="11"/>
  <c r="W16" i="11"/>
  <c r="S16" i="11"/>
  <c r="P16" i="11"/>
  <c r="I16" i="11"/>
  <c r="W23" i="11"/>
  <c r="S23" i="11"/>
  <c r="P23" i="11"/>
  <c r="I23" i="11"/>
  <c r="K23" i="11" s="1"/>
  <c r="W19" i="11"/>
  <c r="S19" i="11"/>
  <c r="P19" i="11"/>
  <c r="I19" i="11"/>
  <c r="W26" i="11"/>
  <c r="S26" i="11"/>
  <c r="P26" i="11"/>
  <c r="I26" i="11"/>
  <c r="W21" i="11"/>
  <c r="S21" i="11"/>
  <c r="P21" i="11"/>
  <c r="I21" i="11"/>
  <c r="W18" i="11"/>
  <c r="S18" i="11"/>
  <c r="P18" i="11"/>
  <c r="I18" i="11"/>
  <c r="U18" i="11" s="1"/>
  <c r="W15" i="11"/>
  <c r="S15" i="11"/>
  <c r="P15" i="11"/>
  <c r="I15" i="11"/>
  <c r="U15" i="11" s="1"/>
  <c r="W28" i="11"/>
  <c r="S28" i="11"/>
  <c r="P28" i="11"/>
  <c r="I28" i="11"/>
  <c r="W25" i="11"/>
  <c r="S25" i="11"/>
  <c r="P25" i="11"/>
  <c r="I25" i="11"/>
  <c r="W17" i="11"/>
  <c r="S17" i="11"/>
  <c r="P17" i="11"/>
  <c r="I17" i="11"/>
  <c r="K17" i="11" s="1"/>
  <c r="W33" i="11"/>
  <c r="S33" i="11"/>
  <c r="P33" i="11"/>
  <c r="I33" i="11"/>
  <c r="W27" i="11"/>
  <c r="S27" i="11"/>
  <c r="P27" i="11"/>
  <c r="I27" i="11"/>
  <c r="K27" i="11" s="1"/>
  <c r="W22" i="11"/>
  <c r="S22" i="11"/>
  <c r="P22" i="11"/>
  <c r="I22" i="11"/>
  <c r="W29" i="11"/>
  <c r="S29" i="11"/>
  <c r="P29" i="11"/>
  <c r="I29" i="11"/>
  <c r="U29" i="11" s="1"/>
  <c r="W31" i="11"/>
  <c r="S31" i="11"/>
  <c r="P31" i="11"/>
  <c r="I31" i="11"/>
  <c r="W30" i="11"/>
  <c r="S30" i="11"/>
  <c r="P30" i="11"/>
  <c r="I30" i="11"/>
  <c r="U30" i="11" s="1"/>
  <c r="W32" i="11"/>
  <c r="S32" i="11"/>
  <c r="P32" i="11"/>
  <c r="I32" i="11"/>
  <c r="K32" i="11" s="1"/>
  <c r="R7" i="11" l="1"/>
  <c r="T7" i="11" s="1"/>
  <c r="X9" i="11"/>
  <c r="Y9" i="11" s="1"/>
  <c r="Z9" i="11" s="1"/>
  <c r="W75" i="6"/>
  <c r="X26" i="11"/>
  <c r="Y26" i="11" s="1"/>
  <c r="Z26" i="11" s="1"/>
  <c r="U27" i="11"/>
  <c r="X25" i="11"/>
  <c r="Y25" i="11" s="1"/>
  <c r="Z25" i="11" s="1"/>
  <c r="X27" i="11"/>
  <c r="Y27" i="11" s="1"/>
  <c r="Z27" i="11" s="1"/>
  <c r="X32" i="11"/>
  <c r="Y32" i="11" s="1"/>
  <c r="Z32" i="11" s="1"/>
  <c r="R33" i="11"/>
  <c r="T33" i="11" s="1"/>
  <c r="R21" i="11"/>
  <c r="T21" i="11" s="1"/>
  <c r="R32" i="11"/>
  <c r="T32" i="11" s="1"/>
  <c r="X15" i="11"/>
  <c r="Y15" i="11" s="1"/>
  <c r="Z15" i="11" s="1"/>
  <c r="X31" i="11"/>
  <c r="Y31" i="11" s="1"/>
  <c r="Z31" i="11" s="1"/>
  <c r="R26" i="11"/>
  <c r="T26" i="11" s="1"/>
  <c r="X10" i="11"/>
  <c r="Y10" i="11" s="1"/>
  <c r="Z10" i="11" s="1"/>
  <c r="R28" i="11"/>
  <c r="T28" i="11" s="1"/>
  <c r="U23" i="11"/>
  <c r="X20" i="11"/>
  <c r="Y20" i="11" s="1"/>
  <c r="Z20" i="11" s="1"/>
  <c r="X4" i="11"/>
  <c r="Y4" i="11" s="1"/>
  <c r="Z4" i="11" s="1"/>
  <c r="X23" i="11"/>
  <c r="Y23" i="11" s="1"/>
  <c r="X30" i="11"/>
  <c r="Y30" i="11" s="1"/>
  <c r="Z30" i="11" s="1"/>
  <c r="R19" i="11"/>
  <c r="T19" i="11" s="1"/>
  <c r="R23" i="11"/>
  <c r="T23" i="11" s="1"/>
  <c r="X7" i="11"/>
  <c r="Y7" i="11" s="1"/>
  <c r="Z7" i="11" s="1"/>
  <c r="AA75" i="6"/>
  <c r="Z75" i="6"/>
  <c r="X75" i="6"/>
  <c r="Y75" i="6"/>
  <c r="X28" i="11"/>
  <c r="Y28" i="11" s="1"/>
  <c r="Z28" i="11" s="1"/>
  <c r="K7" i="11"/>
  <c r="R31" i="11"/>
  <c r="T31" i="11" s="1"/>
  <c r="R16" i="11"/>
  <c r="T16" i="11" s="1"/>
  <c r="X12" i="11"/>
  <c r="Y12" i="11" s="1"/>
  <c r="Z12" i="11" s="1"/>
  <c r="R17" i="11"/>
  <c r="T17" i="11" s="1"/>
  <c r="X17" i="11"/>
  <c r="Y17" i="11" s="1"/>
  <c r="Z17" i="11" s="1"/>
  <c r="K9" i="11"/>
  <c r="X29" i="11"/>
  <c r="Y29" i="11" s="1"/>
  <c r="Z29" i="11" s="1"/>
  <c r="U26" i="11"/>
  <c r="R4" i="11"/>
  <c r="T4" i="11" s="1"/>
  <c r="X3" i="11"/>
  <c r="Y3" i="11" s="1"/>
  <c r="Z3" i="11" s="1"/>
  <c r="X8" i="11"/>
  <c r="Y8" i="11" s="1"/>
  <c r="Z8" i="11" s="1"/>
  <c r="R30" i="11"/>
  <c r="T30" i="11" s="1"/>
  <c r="R22" i="11"/>
  <c r="T22" i="11" s="1"/>
  <c r="R27" i="11"/>
  <c r="T27" i="11" s="1"/>
  <c r="U7" i="11"/>
  <c r="R24" i="11"/>
  <c r="T24" i="11" s="1"/>
  <c r="X24" i="11"/>
  <c r="Y24" i="11" s="1"/>
  <c r="Z24" i="11" s="1"/>
  <c r="K26" i="11"/>
  <c r="U32" i="11"/>
  <c r="K29" i="11"/>
  <c r="U17" i="11"/>
  <c r="K15" i="11"/>
  <c r="K10" i="11"/>
  <c r="K5" i="11"/>
  <c r="X11" i="11"/>
  <c r="Y11" i="11" s="1"/>
  <c r="Z11" i="11" s="1"/>
  <c r="K18" i="11"/>
  <c r="X33" i="11"/>
  <c r="Y33" i="11" s="1"/>
  <c r="Z33" i="11" s="1"/>
  <c r="R18" i="11"/>
  <c r="T18" i="11" s="1"/>
  <c r="X16" i="11"/>
  <c r="Y16" i="11" s="1"/>
  <c r="Z16" i="11" s="1"/>
  <c r="K12" i="11"/>
  <c r="K4" i="11"/>
  <c r="R10" i="11"/>
  <c r="T10" i="11" s="1"/>
  <c r="X18" i="11"/>
  <c r="Y18" i="11" s="1"/>
  <c r="Z18" i="11" s="1"/>
  <c r="K30" i="11"/>
  <c r="R29" i="11"/>
  <c r="T29" i="11" s="1"/>
  <c r="R15" i="11"/>
  <c r="T15" i="11" s="1"/>
  <c r="X19" i="11"/>
  <c r="Y19" i="11" s="1"/>
  <c r="Z19" i="11" s="1"/>
  <c r="R12" i="11"/>
  <c r="T12" i="11" s="1"/>
  <c r="R2" i="11"/>
  <c r="T2" i="11" s="1"/>
  <c r="X22" i="11"/>
  <c r="Y22" i="11" s="1"/>
  <c r="Z22" i="11" s="1"/>
  <c r="R25" i="11"/>
  <c r="T25" i="11" s="1"/>
  <c r="X21" i="11"/>
  <c r="Y21" i="11" s="1"/>
  <c r="Z21" i="11" s="1"/>
  <c r="R9" i="11"/>
  <c r="T9" i="11" s="1"/>
  <c r="U5" i="11"/>
  <c r="X6" i="11"/>
  <c r="Y6" i="11" s="1"/>
  <c r="Z6" i="11" s="1"/>
  <c r="R20" i="11"/>
  <c r="T20" i="11" s="1"/>
  <c r="U4" i="11"/>
  <c r="R3" i="11"/>
  <c r="T3" i="11" s="1"/>
  <c r="X2" i="11"/>
  <c r="Y2" i="11" s="1"/>
  <c r="Z2" i="11" s="1"/>
  <c r="U31" i="11"/>
  <c r="U22" i="11"/>
  <c r="U33" i="11"/>
  <c r="U25" i="11"/>
  <c r="U28" i="11"/>
  <c r="U21" i="11"/>
  <c r="U19" i="11"/>
  <c r="U16" i="11"/>
  <c r="U20" i="11"/>
  <c r="R5" i="11"/>
  <c r="T5" i="11" s="1"/>
  <c r="K11" i="11"/>
  <c r="K6" i="11"/>
  <c r="K8" i="11"/>
  <c r="U3" i="11"/>
  <c r="U24" i="11"/>
  <c r="U2" i="11"/>
  <c r="K25" i="11"/>
  <c r="K28" i="11"/>
  <c r="K21" i="11"/>
  <c r="K16" i="11"/>
  <c r="K20" i="11"/>
  <c r="R11" i="11"/>
  <c r="T11" i="11" s="1"/>
  <c r="R6" i="11"/>
  <c r="T6" i="11" s="1"/>
  <c r="R8" i="11"/>
  <c r="T8" i="11" s="1"/>
  <c r="K31" i="11"/>
  <c r="K22" i="11"/>
  <c r="K33" i="11"/>
  <c r="K19" i="11"/>
  <c r="Y54" i="6"/>
  <c r="X32" i="6"/>
  <c r="W16" i="6"/>
  <c r="W13" i="6"/>
  <c r="AC13" i="6"/>
  <c r="AC10" i="6"/>
  <c r="AC51" i="6"/>
  <c r="AC52" i="6"/>
  <c r="AC55" i="6"/>
  <c r="AC16" i="6"/>
  <c r="AC24" i="6"/>
  <c r="AA11" i="6"/>
  <c r="AA43" i="6"/>
  <c r="AA13" i="6"/>
  <c r="AA16" i="6"/>
  <c r="AA52" i="6"/>
  <c r="AA55" i="6"/>
  <c r="Z5" i="6"/>
  <c r="Y20" i="6"/>
  <c r="X5" i="6"/>
  <c r="X23" i="6"/>
  <c r="W51" i="6"/>
  <c r="W12" i="6"/>
  <c r="W36" i="6"/>
  <c r="AA31" i="6"/>
  <c r="J9" i="6"/>
  <c r="P54" i="6"/>
  <c r="J23" i="6"/>
  <c r="Z23" i="11" l="1"/>
  <c r="Y38" i="11"/>
  <c r="AB75" i="6"/>
  <c r="J45" i="6"/>
  <c r="Y18" i="6" l="1"/>
  <c r="AA44" i="6" l="1"/>
  <c r="AD44" i="6"/>
  <c r="AC44" i="6"/>
  <c r="AE36" i="6" l="1"/>
  <c r="AE5" i="6"/>
  <c r="AE20" i="6"/>
  <c r="AE43" i="6"/>
  <c r="AE4" i="6"/>
  <c r="AE50" i="6"/>
  <c r="AE14" i="6"/>
  <c r="AE23" i="6"/>
  <c r="AE11" i="6"/>
  <c r="AE19" i="6"/>
  <c r="AE22" i="6"/>
  <c r="AE47" i="6"/>
  <c r="AE10" i="6"/>
  <c r="AE58" i="6"/>
  <c r="AE54" i="6"/>
  <c r="AE51" i="6"/>
  <c r="AE45" i="6"/>
  <c r="AE25" i="6"/>
  <c r="AE33" i="6"/>
  <c r="AE12" i="6"/>
  <c r="AE24" i="6"/>
  <c r="AE49" i="6"/>
  <c r="AE57" i="6"/>
  <c r="AE18" i="6"/>
  <c r="AE59" i="6"/>
  <c r="AE41" i="6"/>
  <c r="AE7" i="6"/>
  <c r="AE53" i="6"/>
  <c r="AE13" i="6"/>
  <c r="AE48" i="6"/>
  <c r="AE29" i="6"/>
  <c r="AE26" i="6"/>
  <c r="AE55" i="6"/>
  <c r="AE16" i="6"/>
  <c r="AE40" i="6"/>
  <c r="AE9" i="6"/>
  <c r="AE34" i="6"/>
  <c r="AE8" i="6"/>
  <c r="AE56" i="6"/>
  <c r="AE46" i="6"/>
  <c r="AE60" i="6"/>
  <c r="AE39" i="6"/>
  <c r="AE21" i="6"/>
  <c r="AE32" i="6"/>
  <c r="AE61" i="6"/>
  <c r="AE44" i="6"/>
  <c r="AE28" i="6"/>
  <c r="AE38" i="6"/>
  <c r="AE37" i="6"/>
  <c r="AE52" i="6"/>
  <c r="AE30" i="6"/>
  <c r="AE17" i="6"/>
  <c r="AE3" i="6"/>
  <c r="AE27" i="6"/>
  <c r="AE35" i="6"/>
  <c r="AE42" i="6"/>
  <c r="AE15" i="6"/>
  <c r="AE31" i="6"/>
  <c r="AE6" i="6"/>
  <c r="P11" i="5"/>
  <c r="AD19" i="6"/>
  <c r="AD10" i="6"/>
  <c r="AD4" i="6"/>
  <c r="AD31" i="6"/>
  <c r="AD26" i="6"/>
  <c r="AD14" i="6"/>
  <c r="AD5" i="6"/>
  <c r="AD11" i="6"/>
  <c r="AD23" i="6"/>
  <c r="AD45" i="6"/>
  <c r="AD47" i="6"/>
  <c r="AD41" i="6"/>
  <c r="AD42" i="6"/>
  <c r="AD61" i="6"/>
  <c r="AD28" i="6"/>
  <c r="AD46" i="6"/>
  <c r="AD24" i="6"/>
  <c r="AD12" i="6"/>
  <c r="AD51" i="6"/>
  <c r="AD6" i="6"/>
  <c r="AD27" i="6"/>
  <c r="AD60" i="6"/>
  <c r="AD8" i="6"/>
  <c r="AD30" i="6"/>
  <c r="AD25" i="6"/>
  <c r="AD15" i="6"/>
  <c r="AD32" i="6"/>
  <c r="AD52" i="6"/>
  <c r="AD57" i="6"/>
  <c r="AD16" i="6"/>
  <c r="AD34" i="6"/>
  <c r="AD13" i="6"/>
  <c r="AD3" i="6"/>
  <c r="AD55" i="6"/>
  <c r="AD18" i="6"/>
  <c r="AD29" i="6"/>
  <c r="AD48" i="6"/>
  <c r="AD39" i="6"/>
  <c r="AD20" i="6"/>
  <c r="AD59" i="6"/>
  <c r="AD54" i="6"/>
  <c r="AD58" i="6"/>
  <c r="P56" i="6"/>
  <c r="J56" i="6"/>
  <c r="Z18" i="6"/>
  <c r="X53" i="6"/>
  <c r="Y53" i="6"/>
  <c r="W53" i="6"/>
  <c r="P53" i="6"/>
  <c r="AD53" i="6" s="1"/>
  <c r="J53" i="6"/>
  <c r="J36" i="6"/>
  <c r="J54" i="6"/>
  <c r="P32" i="5"/>
  <c r="U64" i="6"/>
  <c r="T64" i="6"/>
  <c r="S64" i="6"/>
  <c r="R64" i="6"/>
  <c r="Q64" i="6"/>
  <c r="O64" i="6"/>
  <c r="N64" i="6"/>
  <c r="M64" i="6"/>
  <c r="L64" i="6"/>
  <c r="K64" i="6"/>
  <c r="AA36" i="6"/>
  <c r="AA38" i="6"/>
  <c r="P36" i="6"/>
  <c r="AD36" i="6" s="1"/>
  <c r="P24" i="5"/>
  <c r="V33" i="6"/>
  <c r="AD33" i="6" s="1"/>
  <c r="V40" i="6"/>
  <c r="P40" i="6"/>
  <c r="AD40" i="6" s="1"/>
  <c r="J40" i="6"/>
  <c r="J75" i="6" s="1"/>
  <c r="AA64" i="6" l="1"/>
  <c r="W64" i="6"/>
  <c r="Y64" i="6"/>
  <c r="Z64" i="6"/>
  <c r="X64" i="6"/>
  <c r="AC56" i="6"/>
  <c r="AC36" i="6"/>
  <c r="AD56" i="6"/>
  <c r="AC40" i="6"/>
  <c r="AA65" i="6"/>
  <c r="Z65" i="6"/>
  <c r="W65" i="6"/>
  <c r="X65" i="6"/>
  <c r="Y65" i="6"/>
  <c r="AF65" i="6" l="1"/>
  <c r="AB65" i="6"/>
  <c r="Z72" i="6"/>
  <c r="W72" i="6"/>
  <c r="X72" i="6"/>
  <c r="Y72" i="6"/>
  <c r="AB72" i="6" l="1"/>
  <c r="I2" i="5"/>
  <c r="P2" i="5"/>
  <c r="S2" i="5"/>
  <c r="I3" i="5"/>
  <c r="P3" i="5"/>
  <c r="S3" i="5"/>
  <c r="I4" i="5"/>
  <c r="K4" i="5" s="1"/>
  <c r="P4" i="5"/>
  <c r="S4" i="5"/>
  <c r="I5" i="5"/>
  <c r="K5" i="5" s="1"/>
  <c r="P5" i="5"/>
  <c r="S5" i="5"/>
  <c r="I7" i="5"/>
  <c r="P7" i="5"/>
  <c r="S7" i="5"/>
  <c r="I8" i="5"/>
  <c r="P8" i="5"/>
  <c r="S8" i="5"/>
  <c r="I9" i="5"/>
  <c r="P9" i="5"/>
  <c r="S9" i="5"/>
  <c r="I10" i="5"/>
  <c r="P10" i="5"/>
  <c r="S10" i="5"/>
  <c r="I12" i="5"/>
  <c r="AA12" i="5" s="1"/>
  <c r="P12" i="5"/>
  <c r="S12" i="5"/>
  <c r="I6" i="5"/>
  <c r="P6" i="5"/>
  <c r="S6" i="5"/>
  <c r="I13" i="5"/>
  <c r="K13" i="5" s="1"/>
  <c r="P13" i="5"/>
  <c r="S13" i="5"/>
  <c r="I15" i="5"/>
  <c r="K15" i="5" s="1"/>
  <c r="P15" i="5"/>
  <c r="S15" i="5"/>
  <c r="I16" i="5"/>
  <c r="P16" i="5"/>
  <c r="S16" i="5"/>
  <c r="I17" i="5"/>
  <c r="P17" i="5"/>
  <c r="S17" i="5"/>
  <c r="I18" i="5"/>
  <c r="P18" i="5"/>
  <c r="S18" i="5"/>
  <c r="I14" i="5"/>
  <c r="P14" i="5"/>
  <c r="S14" i="5"/>
  <c r="I20" i="5"/>
  <c r="K20" i="5" s="1"/>
  <c r="P20" i="5"/>
  <c r="S20" i="5"/>
  <c r="I19" i="5"/>
  <c r="P19" i="5"/>
  <c r="S19" i="5"/>
  <c r="I21" i="5"/>
  <c r="AA21" i="5" s="1"/>
  <c r="P21" i="5"/>
  <c r="S21" i="5"/>
  <c r="I26" i="5"/>
  <c r="P26" i="5"/>
  <c r="S26" i="5"/>
  <c r="I22" i="5"/>
  <c r="K22" i="5" s="1"/>
  <c r="P22" i="5"/>
  <c r="S22" i="5"/>
  <c r="I23" i="5"/>
  <c r="P23" i="5"/>
  <c r="S23" i="5"/>
  <c r="I33" i="5"/>
  <c r="P33" i="5"/>
  <c r="S33" i="5"/>
  <c r="I25" i="5"/>
  <c r="K25" i="5" s="1"/>
  <c r="P25" i="5"/>
  <c r="S25" i="5"/>
  <c r="I29" i="5"/>
  <c r="K29" i="5" s="1"/>
  <c r="P29" i="5"/>
  <c r="S29" i="5"/>
  <c r="I43" i="5"/>
  <c r="K43" i="5" s="1"/>
  <c r="P43" i="5"/>
  <c r="S43" i="5"/>
  <c r="I30" i="5"/>
  <c r="P30" i="5"/>
  <c r="S30" i="5"/>
  <c r="I27" i="5"/>
  <c r="P27" i="5"/>
  <c r="S27" i="5"/>
  <c r="I28" i="5"/>
  <c r="K28" i="5" s="1"/>
  <c r="P28" i="5"/>
  <c r="S28" i="5"/>
  <c r="Q71" i="5"/>
  <c r="O71" i="5"/>
  <c r="N71" i="5"/>
  <c r="M71" i="5"/>
  <c r="L71" i="5"/>
  <c r="U69" i="6"/>
  <c r="U67" i="6"/>
  <c r="T69" i="6"/>
  <c r="T67" i="6"/>
  <c r="S69" i="6"/>
  <c r="S67" i="6"/>
  <c r="R69" i="6"/>
  <c r="R67" i="6"/>
  <c r="Q69" i="6"/>
  <c r="Q67" i="6"/>
  <c r="O69" i="6"/>
  <c r="O67" i="6"/>
  <c r="N69" i="6"/>
  <c r="N67" i="6"/>
  <c r="M69" i="6"/>
  <c r="M67" i="6"/>
  <c r="L69" i="6"/>
  <c r="L67" i="6"/>
  <c r="K69" i="6"/>
  <c r="K67" i="6"/>
  <c r="I69" i="6"/>
  <c r="I67" i="6"/>
  <c r="H69" i="6"/>
  <c r="H67" i="6"/>
  <c r="G69" i="6"/>
  <c r="G67" i="6"/>
  <c r="F69" i="6"/>
  <c r="F67" i="6"/>
  <c r="E69" i="6"/>
  <c r="E67" i="6"/>
  <c r="AC48" i="6"/>
  <c r="AA48" i="6"/>
  <c r="Z48" i="6"/>
  <c r="Y48" i="6"/>
  <c r="X48" i="6"/>
  <c r="W48" i="6"/>
  <c r="AG48" i="6" s="1"/>
  <c r="J58" i="6"/>
  <c r="P9" i="6"/>
  <c r="AA26" i="6"/>
  <c r="P45" i="5"/>
  <c r="P38" i="6"/>
  <c r="AD38" i="6" s="1"/>
  <c r="J38" i="6"/>
  <c r="P50" i="6"/>
  <c r="AD50" i="6" s="1"/>
  <c r="J50" i="6"/>
  <c r="X13" i="6"/>
  <c r="Y13" i="6"/>
  <c r="Z13" i="6"/>
  <c r="P43" i="6"/>
  <c r="J43" i="6"/>
  <c r="S38" i="5"/>
  <c r="P38" i="5"/>
  <c r="I38" i="5"/>
  <c r="K10" i="5" l="1"/>
  <c r="I62" i="5"/>
  <c r="AG13" i="6"/>
  <c r="W70" i="6"/>
  <c r="Z70" i="6"/>
  <c r="X70" i="6"/>
  <c r="Y70" i="6"/>
  <c r="AD9" i="6"/>
  <c r="AC43" i="6"/>
  <c r="AD43" i="6"/>
  <c r="AB13" i="6"/>
  <c r="AB48" i="6"/>
  <c r="K38" i="5"/>
  <c r="AA28" i="5"/>
  <c r="K2" i="5"/>
  <c r="AA2" i="5"/>
  <c r="R26" i="5"/>
  <c r="T26" i="5" s="1"/>
  <c r="R19" i="5"/>
  <c r="T19" i="5" s="1"/>
  <c r="R12" i="5"/>
  <c r="T12" i="5" s="1"/>
  <c r="R9" i="5"/>
  <c r="T9" i="5" s="1"/>
  <c r="R7" i="5"/>
  <c r="T7" i="5" s="1"/>
  <c r="R33" i="5"/>
  <c r="T33" i="5" s="1"/>
  <c r="R18" i="5"/>
  <c r="T18" i="5" s="1"/>
  <c r="R6" i="5"/>
  <c r="T6" i="5" s="1"/>
  <c r="R27" i="5"/>
  <c r="T27" i="5" s="1"/>
  <c r="R17" i="5"/>
  <c r="T17" i="5" s="1"/>
  <c r="R43" i="5"/>
  <c r="T43" i="5" s="1"/>
  <c r="R15" i="5"/>
  <c r="T15" i="5" s="1"/>
  <c r="R23" i="5"/>
  <c r="T23" i="5" s="1"/>
  <c r="K19" i="5"/>
  <c r="R14" i="5"/>
  <c r="T14" i="5" s="1"/>
  <c r="K7" i="5"/>
  <c r="R3" i="5"/>
  <c r="T3" i="5" s="1"/>
  <c r="R25" i="5"/>
  <c r="T25" i="5" s="1"/>
  <c r="K23" i="5"/>
  <c r="R20" i="5"/>
  <c r="T20" i="5" s="1"/>
  <c r="K18" i="5"/>
  <c r="R13" i="5"/>
  <c r="T13" i="5" s="1"/>
  <c r="K12" i="5"/>
  <c r="R4" i="5"/>
  <c r="T4" i="5" s="1"/>
  <c r="R30" i="5"/>
  <c r="T30" i="5" s="1"/>
  <c r="R21" i="5"/>
  <c r="T21" i="5" s="1"/>
  <c r="R16" i="5"/>
  <c r="T16" i="5" s="1"/>
  <c r="R8" i="5"/>
  <c r="T8" i="5" s="1"/>
  <c r="K27" i="5"/>
  <c r="K26" i="5"/>
  <c r="K17" i="5"/>
  <c r="K9" i="5"/>
  <c r="R29" i="5"/>
  <c r="T29" i="5" s="1"/>
  <c r="K33" i="5"/>
  <c r="K14" i="5"/>
  <c r="K6" i="5"/>
  <c r="R5" i="5"/>
  <c r="T5" i="5" s="1"/>
  <c r="K3" i="5"/>
  <c r="R28" i="5"/>
  <c r="T28" i="5" s="1"/>
  <c r="K30" i="5"/>
  <c r="R22" i="5"/>
  <c r="T22" i="5" s="1"/>
  <c r="K21" i="5"/>
  <c r="K16" i="5"/>
  <c r="R10" i="5"/>
  <c r="T10" i="5" s="1"/>
  <c r="K8" i="5"/>
  <c r="R2" i="5"/>
  <c r="T2" i="5" s="1"/>
  <c r="U28" i="5"/>
  <c r="U27" i="5"/>
  <c r="U30" i="5"/>
  <c r="U29" i="5"/>
  <c r="U25" i="5"/>
  <c r="U33" i="5"/>
  <c r="U23" i="5"/>
  <c r="U22" i="5"/>
  <c r="U26" i="5"/>
  <c r="U21" i="5"/>
  <c r="U19" i="5"/>
  <c r="U20" i="5"/>
  <c r="U14" i="5"/>
  <c r="U18" i="5"/>
  <c r="U17" i="5"/>
  <c r="U16" i="5"/>
  <c r="U15" i="5"/>
  <c r="U13" i="5"/>
  <c r="U6" i="5"/>
  <c r="U12" i="5"/>
  <c r="U10" i="5"/>
  <c r="U9" i="5"/>
  <c r="U8" i="5"/>
  <c r="U7" i="5"/>
  <c r="U5" i="5"/>
  <c r="U4" i="5"/>
  <c r="U73" i="5" s="1"/>
  <c r="U3" i="5"/>
  <c r="U2" i="5"/>
  <c r="R38" i="5"/>
  <c r="T38" i="5" s="1"/>
  <c r="E71" i="5"/>
  <c r="F71" i="5"/>
  <c r="G71" i="5"/>
  <c r="H71" i="5"/>
  <c r="J71" i="5"/>
  <c r="X18" i="6"/>
  <c r="Q70" i="5"/>
  <c r="O70" i="5"/>
  <c r="N70" i="5"/>
  <c r="M70" i="5"/>
  <c r="L70" i="5"/>
  <c r="J70" i="5"/>
  <c r="H70" i="5"/>
  <c r="G70" i="5"/>
  <c r="F70" i="5"/>
  <c r="E70" i="5"/>
  <c r="AF70" i="6" l="1"/>
  <c r="AB70" i="6"/>
  <c r="U67" i="5"/>
  <c r="U71" i="5"/>
  <c r="S70" i="5"/>
  <c r="S71" i="5"/>
  <c r="I70" i="5"/>
  <c r="K70" i="5" s="1"/>
  <c r="P70" i="5"/>
  <c r="I71" i="5"/>
  <c r="W31" i="6"/>
  <c r="AA46" i="6"/>
  <c r="AC25" i="6"/>
  <c r="S56" i="5"/>
  <c r="P56" i="5"/>
  <c r="S53" i="5"/>
  <c r="P53" i="5"/>
  <c r="I53" i="5"/>
  <c r="K53" i="5" l="1"/>
  <c r="R70" i="5"/>
  <c r="T70" i="5" s="1"/>
  <c r="R53" i="5"/>
  <c r="T53" i="5" s="1"/>
  <c r="Y67" i="6"/>
  <c r="Z67" i="6"/>
  <c r="W67" i="6"/>
  <c r="X67" i="6"/>
  <c r="Z69" i="6"/>
  <c r="Y69" i="6"/>
  <c r="W69" i="6"/>
  <c r="X69" i="6"/>
  <c r="AA37" i="6"/>
  <c r="V37" i="6"/>
  <c r="J37" i="6"/>
  <c r="P37" i="6"/>
  <c r="W12" i="5"/>
  <c r="AC54" i="6"/>
  <c r="AA54" i="6"/>
  <c r="Z54" i="6"/>
  <c r="X54" i="6"/>
  <c r="W54" i="6"/>
  <c r="AG54" i="6" s="1"/>
  <c r="AB54" i="6" l="1"/>
  <c r="AD37" i="6"/>
  <c r="AA26" i="5"/>
  <c r="X26" i="5"/>
  <c r="Y26" i="5" s="1"/>
  <c r="Z26" i="5" s="1"/>
  <c r="AA33" i="6"/>
  <c r="Z33" i="6"/>
  <c r="Y33" i="6"/>
  <c r="X33" i="6"/>
  <c r="W33" i="6"/>
  <c r="J33" i="6"/>
  <c r="AC33" i="6" s="1"/>
  <c r="S57" i="5"/>
  <c r="P57" i="5"/>
  <c r="AC23" i="6"/>
  <c r="AC58" i="6"/>
  <c r="AC38" i="6"/>
  <c r="AC53" i="6"/>
  <c r="AC50" i="6"/>
  <c r="AC4" i="6"/>
  <c r="AC19" i="6"/>
  <c r="AC18" i="6"/>
  <c r="AC20" i="6"/>
  <c r="AC59" i="6"/>
  <c r="AC57" i="6"/>
  <c r="AC27" i="6"/>
  <c r="AC3" i="6"/>
  <c r="AC30" i="6"/>
  <c r="AC32" i="6"/>
  <c r="AC60" i="6"/>
  <c r="AC34" i="6"/>
  <c r="AC6" i="6"/>
  <c r="AC8" i="6"/>
  <c r="AC15" i="6"/>
  <c r="P21" i="6"/>
  <c r="J21" i="6"/>
  <c r="S47" i="5"/>
  <c r="S59" i="5"/>
  <c r="S52" i="5"/>
  <c r="S45" i="5"/>
  <c r="S49" i="5"/>
  <c r="S32" i="5"/>
  <c r="S55" i="5"/>
  <c r="S42" i="5"/>
  <c r="S24" i="5"/>
  <c r="P47" i="5"/>
  <c r="P59" i="5"/>
  <c r="P52" i="5"/>
  <c r="P49" i="5"/>
  <c r="P55" i="5"/>
  <c r="P42" i="5"/>
  <c r="S37" i="5"/>
  <c r="P37" i="5"/>
  <c r="S31" i="5"/>
  <c r="P31" i="5"/>
  <c r="S51" i="5"/>
  <c r="P51" i="5"/>
  <c r="S50" i="5"/>
  <c r="P50" i="5"/>
  <c r="AA40" i="6"/>
  <c r="Z40" i="6"/>
  <c r="Y40" i="6"/>
  <c r="X40" i="6"/>
  <c r="W40" i="6"/>
  <c r="AG40" i="6" s="1"/>
  <c r="W27" i="5"/>
  <c r="W21" i="5"/>
  <c r="AG33" i="6" l="1"/>
  <c r="AD21" i="6"/>
  <c r="AB40" i="6"/>
  <c r="AB33" i="6"/>
  <c r="AC9" i="6"/>
  <c r="AB26" i="5"/>
  <c r="K71" i="5"/>
  <c r="X27" i="5"/>
  <c r="Y27" i="5" s="1"/>
  <c r="Z27" i="5" s="1"/>
  <c r="AA27" i="5"/>
  <c r="J7" i="6"/>
  <c r="P7" i="6"/>
  <c r="V7" i="6"/>
  <c r="AA7" i="6"/>
  <c r="Z7" i="6"/>
  <c r="Y7" i="6"/>
  <c r="X7" i="6"/>
  <c r="W7" i="6"/>
  <c r="AA22" i="5"/>
  <c r="AA9" i="6"/>
  <c r="Z9" i="6"/>
  <c r="Y9" i="6"/>
  <c r="X9" i="6"/>
  <c r="W9" i="6"/>
  <c r="W35" i="5"/>
  <c r="S35" i="5"/>
  <c r="P35" i="5"/>
  <c r="I35" i="5"/>
  <c r="S48" i="5"/>
  <c r="P48" i="5"/>
  <c r="I48" i="5"/>
  <c r="K48" i="5" s="1"/>
  <c r="AA19" i="6"/>
  <c r="Z19" i="6"/>
  <c r="Y19" i="6"/>
  <c r="X19" i="6"/>
  <c r="W19" i="6"/>
  <c r="AG19" i="6" s="1"/>
  <c r="AA33" i="5"/>
  <c r="W57" i="5"/>
  <c r="W58" i="5"/>
  <c r="W56" i="5"/>
  <c r="W54" i="5"/>
  <c r="S58" i="5"/>
  <c r="P58" i="5"/>
  <c r="Z45" i="5"/>
  <c r="W43" i="5"/>
  <c r="W47" i="5"/>
  <c r="W59" i="5"/>
  <c r="W52" i="5"/>
  <c r="W45" i="5"/>
  <c r="W49" i="5"/>
  <c r="W32" i="5"/>
  <c r="W55" i="5"/>
  <c r="W42" i="5"/>
  <c r="W28" i="5"/>
  <c r="W24" i="5"/>
  <c r="W37" i="5"/>
  <c r="W31" i="5"/>
  <c r="W51" i="5"/>
  <c r="W25" i="5"/>
  <c r="W29" i="5"/>
  <c r="W50" i="5"/>
  <c r="W38" i="5"/>
  <c r="W22" i="5"/>
  <c r="W48" i="5"/>
  <c r="W46" i="5"/>
  <c r="W53" i="5"/>
  <c r="X53" i="5" s="1"/>
  <c r="Y53" i="5" s="1"/>
  <c r="S46" i="5"/>
  <c r="W18" i="5"/>
  <c r="I47" i="5"/>
  <c r="K47" i="5" s="1"/>
  <c r="I59" i="5"/>
  <c r="K59" i="5" s="1"/>
  <c r="I52" i="5"/>
  <c r="AA45" i="6"/>
  <c r="AA49" i="6"/>
  <c r="V49" i="6"/>
  <c r="V75" i="6" s="1"/>
  <c r="P49" i="6"/>
  <c r="P75" i="6" s="1"/>
  <c r="AC29" i="6"/>
  <c r="V35" i="6"/>
  <c r="P35" i="6"/>
  <c r="J35" i="6"/>
  <c r="AA29" i="6"/>
  <c r="Z29" i="6"/>
  <c r="Y29" i="6"/>
  <c r="X29" i="6"/>
  <c r="W29" i="6"/>
  <c r="P46" i="5"/>
  <c r="I46" i="5"/>
  <c r="AG9" i="6" l="1"/>
  <c r="AG29" i="6"/>
  <c r="AG7" i="6"/>
  <c r="AD75" i="6"/>
  <c r="AC75" i="6"/>
  <c r="P64" i="6"/>
  <c r="AD49" i="6"/>
  <c r="V64" i="6"/>
  <c r="AD35" i="6"/>
  <c r="AD7" i="6"/>
  <c r="AB7" i="6"/>
  <c r="AB29" i="6"/>
  <c r="AB9" i="6"/>
  <c r="AB19" i="6"/>
  <c r="V67" i="6"/>
  <c r="V69" i="6"/>
  <c r="J67" i="6"/>
  <c r="J69" i="6"/>
  <c r="P67" i="6"/>
  <c r="P69" i="6"/>
  <c r="AC35" i="6"/>
  <c r="AC7" i="6"/>
  <c r="R46" i="5"/>
  <c r="T46" i="5" s="1"/>
  <c r="X35" i="5"/>
  <c r="Y35" i="5" s="1"/>
  <c r="R59" i="5"/>
  <c r="T59" i="5" s="1"/>
  <c r="X38" i="5"/>
  <c r="Y38" i="5" s="1"/>
  <c r="R47" i="5"/>
  <c r="T47" i="5" s="1"/>
  <c r="R35" i="5"/>
  <c r="T35" i="5" s="1"/>
  <c r="AB27" i="5"/>
  <c r="X52" i="5"/>
  <c r="Y52" i="5" s="1"/>
  <c r="R52" i="5"/>
  <c r="T52" i="5" s="1"/>
  <c r="K52" i="5"/>
  <c r="X22" i="5"/>
  <c r="Y22" i="5" s="1"/>
  <c r="Z22" i="5" s="1"/>
  <c r="X33" i="5"/>
  <c r="Y33" i="5" s="1"/>
  <c r="Z33" i="5" s="1"/>
  <c r="K35" i="5"/>
  <c r="X59" i="5"/>
  <c r="Y59" i="5" s="1"/>
  <c r="K46" i="5"/>
  <c r="X47" i="5"/>
  <c r="Y47" i="5" s="1"/>
  <c r="X46" i="5"/>
  <c r="Y46" i="5" s="1"/>
  <c r="X43" i="5"/>
  <c r="Y43" i="5" s="1"/>
  <c r="R48" i="5"/>
  <c r="T48" i="5" s="1"/>
  <c r="X48" i="5"/>
  <c r="Y48" i="5" s="1"/>
  <c r="AC64" i="6" l="1"/>
  <c r="AC69" i="6"/>
  <c r="AC67" i="6"/>
  <c r="AD70" i="6"/>
  <c r="AD65" i="6"/>
  <c r="AB22" i="5"/>
  <c r="AB33" i="5"/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W47" i="6" l="1"/>
  <c r="X38" i="6" l="1"/>
  <c r="I45" i="5"/>
  <c r="I49" i="5"/>
  <c r="I32" i="5"/>
  <c r="U32" i="5" s="1"/>
  <c r="I55" i="5"/>
  <c r="I42" i="5"/>
  <c r="I24" i="5"/>
  <c r="I37" i="5"/>
  <c r="I31" i="5"/>
  <c r="I51" i="5"/>
  <c r="AA23" i="6"/>
  <c r="Z23" i="6"/>
  <c r="Y23" i="6"/>
  <c r="W23" i="6"/>
  <c r="Z31" i="6"/>
  <c r="X31" i="6"/>
  <c r="AA58" i="6"/>
  <c r="Y58" i="6"/>
  <c r="X58" i="6"/>
  <c r="W58" i="6"/>
  <c r="Z43" i="6"/>
  <c r="Y43" i="6"/>
  <c r="X43" i="6"/>
  <c r="AG43" i="6" s="1"/>
  <c r="Z26" i="6"/>
  <c r="Y26" i="6"/>
  <c r="X26" i="6"/>
  <c r="W26" i="6"/>
  <c r="AA14" i="6"/>
  <c r="Z14" i="6"/>
  <c r="Y14" i="6"/>
  <c r="AG14" i="6" s="1"/>
  <c r="AA51" i="6"/>
  <c r="Z51" i="6"/>
  <c r="Y51" i="6"/>
  <c r="X51" i="6"/>
  <c r="Z21" i="6"/>
  <c r="Y21" i="6"/>
  <c r="X21" i="6"/>
  <c r="W21" i="6"/>
  <c r="AA5" i="6"/>
  <c r="Y5" i="6"/>
  <c r="W5" i="6"/>
  <c r="AG5" i="6" s="1"/>
  <c r="Z36" i="6"/>
  <c r="Y36" i="6"/>
  <c r="X36" i="6"/>
  <c r="Z11" i="6"/>
  <c r="Y11" i="6"/>
  <c r="X11" i="6"/>
  <c r="W11" i="6"/>
  <c r="AA53" i="6"/>
  <c r="Z53" i="6"/>
  <c r="AG53" i="6" s="1"/>
  <c r="AA41" i="6"/>
  <c r="Z41" i="6"/>
  <c r="Y41" i="6"/>
  <c r="X41" i="6"/>
  <c r="W41" i="6"/>
  <c r="AG41" i="6" s="1"/>
  <c r="AA47" i="6"/>
  <c r="Z47" i="6"/>
  <c r="Y47" i="6"/>
  <c r="X47" i="6"/>
  <c r="AG47" i="6" s="1"/>
  <c r="Z45" i="6"/>
  <c r="Y45" i="6"/>
  <c r="X45" i="6"/>
  <c r="W45" i="6"/>
  <c r="AG45" i="6" s="1"/>
  <c r="AG36" i="6" l="1"/>
  <c r="AG58" i="6"/>
  <c r="AG51" i="6"/>
  <c r="AG21" i="6"/>
  <c r="AG23" i="6"/>
  <c r="AG26" i="6"/>
  <c r="AG11" i="6"/>
  <c r="AG31" i="6"/>
  <c r="AB38" i="6"/>
  <c r="AG38" i="6"/>
  <c r="AB43" i="6"/>
  <c r="AB53" i="6"/>
  <c r="AB14" i="6"/>
  <c r="AB23" i="6"/>
  <c r="AB47" i="6"/>
  <c r="AB26" i="6"/>
  <c r="AB36" i="6"/>
  <c r="AB5" i="6"/>
  <c r="AB51" i="6"/>
  <c r="AB11" i="6"/>
  <c r="AB58" i="6"/>
  <c r="AB45" i="6"/>
  <c r="AB41" i="6"/>
  <c r="AB21" i="6"/>
  <c r="AB31" i="6"/>
  <c r="R24" i="5"/>
  <c r="T24" i="5" s="1"/>
  <c r="AA24" i="5"/>
  <c r="U24" i="5"/>
  <c r="K24" i="5"/>
  <c r="X24" i="5"/>
  <c r="Y24" i="5" s="1"/>
  <c r="Z24" i="5" s="1"/>
  <c r="R45" i="5"/>
  <c r="T45" i="5" s="1"/>
  <c r="K45" i="5"/>
  <c r="X32" i="5"/>
  <c r="Y32" i="5" s="1"/>
  <c r="Z32" i="5" s="1"/>
  <c r="R32" i="5"/>
  <c r="T32" i="5" s="1"/>
  <c r="AA32" i="5"/>
  <c r="X29" i="5"/>
  <c r="Y29" i="5" s="1"/>
  <c r="Z29" i="5" s="1"/>
  <c r="AA29" i="5"/>
  <c r="X28" i="5"/>
  <c r="Y28" i="5" s="1"/>
  <c r="Z28" i="5" s="1"/>
  <c r="Z68" i="5" s="1"/>
  <c r="X37" i="5"/>
  <c r="Y37" i="5" s="1"/>
  <c r="R37" i="5"/>
  <c r="T37" i="5" s="1"/>
  <c r="X25" i="5"/>
  <c r="Y25" i="5" s="1"/>
  <c r="Z25" i="5" s="1"/>
  <c r="AA25" i="5"/>
  <c r="X31" i="5"/>
  <c r="Y31" i="5" s="1"/>
  <c r="Z31" i="5" s="1"/>
  <c r="AA31" i="5"/>
  <c r="U31" i="5"/>
  <c r="R31" i="5"/>
  <c r="T31" i="5" s="1"/>
  <c r="X55" i="5"/>
  <c r="Y55" i="5" s="1"/>
  <c r="R55" i="5"/>
  <c r="T55" i="5" s="1"/>
  <c r="X49" i="5"/>
  <c r="Y49" i="5" s="1"/>
  <c r="R49" i="5"/>
  <c r="T49" i="5" s="1"/>
  <c r="X51" i="5"/>
  <c r="Y51" i="5" s="1"/>
  <c r="R51" i="5"/>
  <c r="T51" i="5" s="1"/>
  <c r="X42" i="5"/>
  <c r="Y42" i="5" s="1"/>
  <c r="R42" i="5"/>
  <c r="T42" i="5" s="1"/>
  <c r="K32" i="5"/>
  <c r="K31" i="5"/>
  <c r="K37" i="5"/>
  <c r="K49" i="5"/>
  <c r="K42" i="5"/>
  <c r="K51" i="5"/>
  <c r="K55" i="5"/>
  <c r="U68" i="5" l="1"/>
  <c r="AB24" i="5"/>
  <c r="AB28" i="5"/>
  <c r="AB31" i="5"/>
  <c r="AB25" i="5"/>
  <c r="AB32" i="5"/>
  <c r="AB29" i="5"/>
  <c r="P54" i="5"/>
  <c r="S54" i="5"/>
  <c r="I50" i="5"/>
  <c r="AA39" i="6"/>
  <c r="Z39" i="6"/>
  <c r="Y39" i="6"/>
  <c r="X39" i="6"/>
  <c r="W39" i="6"/>
  <c r="Z37" i="6"/>
  <c r="Y37" i="6"/>
  <c r="X37" i="6"/>
  <c r="W37" i="6"/>
  <c r="AG37" i="6" s="1"/>
  <c r="I11" i="5"/>
  <c r="Z12" i="6"/>
  <c r="Y12" i="6"/>
  <c r="X12" i="6"/>
  <c r="I57" i="5"/>
  <c r="Z49" i="6"/>
  <c r="Y49" i="6"/>
  <c r="X49" i="6"/>
  <c r="W49" i="6"/>
  <c r="AG49" i="6" s="1"/>
  <c r="AA22" i="6"/>
  <c r="Z22" i="6"/>
  <c r="Y22" i="6"/>
  <c r="X22" i="6"/>
  <c r="W22" i="6"/>
  <c r="Z55" i="6"/>
  <c r="Y55" i="6"/>
  <c r="X55" i="6"/>
  <c r="W55" i="6"/>
  <c r="AG55" i="6" s="1"/>
  <c r="AA56" i="6"/>
  <c r="Z56" i="6"/>
  <c r="Y56" i="6"/>
  <c r="X56" i="6"/>
  <c r="W56" i="6"/>
  <c r="AG56" i="6" s="1"/>
  <c r="Z52" i="6"/>
  <c r="Y52" i="6"/>
  <c r="X52" i="6"/>
  <c r="W52" i="6"/>
  <c r="AA50" i="6"/>
  <c r="Z50" i="6"/>
  <c r="Y50" i="6"/>
  <c r="X50" i="6"/>
  <c r="W50" i="6"/>
  <c r="AG50" i="6" s="1"/>
  <c r="I58" i="5"/>
  <c r="K58" i="5" s="1"/>
  <c r="I56" i="5"/>
  <c r="K56" i="5" s="1"/>
  <c r="I54" i="5"/>
  <c r="AG22" i="6" l="1"/>
  <c r="AG12" i="6"/>
  <c r="AG39" i="6"/>
  <c r="AG52" i="6"/>
  <c r="K11" i="5"/>
  <c r="U11" i="5"/>
  <c r="AA11" i="5"/>
  <c r="AB39" i="6"/>
  <c r="AB52" i="6"/>
  <c r="AB55" i="6"/>
  <c r="AB49" i="6"/>
  <c r="AB50" i="6"/>
  <c r="AB22" i="6"/>
  <c r="AB37" i="6"/>
  <c r="AB56" i="6"/>
  <c r="AB12" i="6"/>
  <c r="R50" i="5"/>
  <c r="T50" i="5" s="1"/>
  <c r="X11" i="5"/>
  <c r="Y11" i="5" s="1"/>
  <c r="Z11" i="5" s="1"/>
  <c r="R11" i="5"/>
  <c r="T11" i="5" s="1"/>
  <c r="X54" i="5"/>
  <c r="Y54" i="5" s="1"/>
  <c r="X12" i="5"/>
  <c r="Y12" i="5" s="1"/>
  <c r="Z12" i="5" s="1"/>
  <c r="AB12" i="5" s="1"/>
  <c r="K54" i="5"/>
  <c r="X56" i="5"/>
  <c r="Y56" i="5" s="1"/>
  <c r="R56" i="5"/>
  <c r="T56" i="5" s="1"/>
  <c r="K57" i="5"/>
  <c r="R57" i="5"/>
  <c r="T57" i="5" s="1"/>
  <c r="X57" i="5"/>
  <c r="Y57" i="5" s="1"/>
  <c r="X21" i="5"/>
  <c r="X50" i="5"/>
  <c r="Y50" i="5" s="1"/>
  <c r="K50" i="5"/>
  <c r="X58" i="5"/>
  <c r="Y58" i="5" s="1"/>
  <c r="R58" i="5"/>
  <c r="T58" i="5" s="1"/>
  <c r="AA18" i="5"/>
  <c r="X18" i="5"/>
  <c r="R54" i="5"/>
  <c r="T54" i="5" s="1"/>
  <c r="AB11" i="5" l="1"/>
  <c r="Z67" i="5"/>
  <c r="Y21" i="5"/>
  <c r="Z21" i="5" s="1"/>
  <c r="AB21" i="5" s="1"/>
  <c r="Y18" i="5"/>
  <c r="Z18" i="5" s="1"/>
  <c r="AA35" i="6"/>
  <c r="AB18" i="5" l="1"/>
  <c r="P36" i="5" l="1"/>
  <c r="P39" i="5"/>
  <c r="P44" i="5"/>
  <c r="P34" i="5"/>
  <c r="P41" i="5"/>
  <c r="P60" i="5"/>
  <c r="P40" i="5" l="1"/>
  <c r="W40" i="5" l="1"/>
  <c r="S40" i="5"/>
  <c r="I40" i="5"/>
  <c r="K40" i="5" s="1"/>
  <c r="Z16" i="6"/>
  <c r="Y16" i="6"/>
  <c r="X16" i="6"/>
  <c r="AG16" i="6" l="1"/>
  <c r="AB16" i="6"/>
  <c r="AA69" i="6"/>
  <c r="AB69" i="6" s="1"/>
  <c r="AA67" i="6"/>
  <c r="AB67" i="6" s="1"/>
  <c r="R40" i="5"/>
  <c r="T40" i="5" s="1"/>
  <c r="X40" i="5"/>
  <c r="Y40" i="5" s="1"/>
  <c r="W57" i="6" l="1"/>
  <c r="AA28" i="6"/>
  <c r="Z28" i="6"/>
  <c r="Y28" i="6"/>
  <c r="X28" i="6"/>
  <c r="W28" i="6"/>
  <c r="AA17" i="6"/>
  <c r="Z17" i="6"/>
  <c r="X17" i="6"/>
  <c r="W17" i="6"/>
  <c r="AG17" i="6" s="1"/>
  <c r="AA60" i="6"/>
  <c r="Z60" i="6"/>
  <c r="Y60" i="6"/>
  <c r="X60" i="6"/>
  <c r="W60" i="6"/>
  <c r="AG60" i="6" s="1"/>
  <c r="AA59" i="6"/>
  <c r="Z59" i="6"/>
  <c r="Y59" i="6"/>
  <c r="X59" i="6"/>
  <c r="W59" i="6"/>
  <c r="AA57" i="6"/>
  <c r="Z57" i="6"/>
  <c r="Y57" i="6"/>
  <c r="X57" i="6"/>
  <c r="AA42" i="6"/>
  <c r="Z42" i="6"/>
  <c r="Y42" i="6"/>
  <c r="X42" i="6"/>
  <c r="W42" i="6"/>
  <c r="AA25" i="6"/>
  <c r="Z25" i="6"/>
  <c r="Y25" i="6"/>
  <c r="X25" i="6"/>
  <c r="W25" i="6"/>
  <c r="AG25" i="6" s="1"/>
  <c r="AA20" i="6"/>
  <c r="Z20" i="6"/>
  <c r="X20" i="6"/>
  <c r="W20" i="6"/>
  <c r="AA18" i="6"/>
  <c r="W18" i="6"/>
  <c r="AG18" i="6" s="1"/>
  <c r="AA15" i="6"/>
  <c r="Z15" i="6"/>
  <c r="Y15" i="6"/>
  <c r="X15" i="6"/>
  <c r="W15" i="6"/>
  <c r="AA10" i="6"/>
  <c r="Z10" i="6"/>
  <c r="Y10" i="6"/>
  <c r="X10" i="6"/>
  <c r="W10" i="6"/>
  <c r="AG10" i="6" s="1"/>
  <c r="AA8" i="6"/>
  <c r="Z8" i="6"/>
  <c r="Y8" i="6"/>
  <c r="X8" i="6"/>
  <c r="W8" i="6"/>
  <c r="AA3" i="6"/>
  <c r="Z3" i="6"/>
  <c r="Y3" i="6"/>
  <c r="X3" i="6"/>
  <c r="W3" i="6"/>
  <c r="AG57" i="6" l="1"/>
  <c r="AG8" i="6"/>
  <c r="AG20" i="6"/>
  <c r="AG28" i="6"/>
  <c r="AG42" i="6"/>
  <c r="AG15" i="6"/>
  <c r="AG3" i="6"/>
  <c r="AB3" i="6"/>
  <c r="AG59" i="6"/>
  <c r="AB10" i="6"/>
  <c r="AB25" i="6"/>
  <c r="AB17" i="6"/>
  <c r="AB57" i="6"/>
  <c r="AB18" i="6"/>
  <c r="AB60" i="6"/>
  <c r="AB8" i="6"/>
  <c r="AB20" i="6"/>
  <c r="AB28" i="6"/>
  <c r="AB15" i="6"/>
  <c r="AB42" i="6"/>
  <c r="AB59" i="6"/>
  <c r="W27" i="6"/>
  <c r="X27" i="6"/>
  <c r="Y27" i="6"/>
  <c r="Z27" i="6"/>
  <c r="AA27" i="6"/>
  <c r="W4" i="6"/>
  <c r="X4" i="6"/>
  <c r="Y4" i="6"/>
  <c r="Z4" i="6"/>
  <c r="AA4" i="6"/>
  <c r="W6" i="6"/>
  <c r="AG6" i="6" s="1"/>
  <c r="X6" i="6"/>
  <c r="Y6" i="6"/>
  <c r="Z6" i="6"/>
  <c r="W24" i="6"/>
  <c r="X24" i="6"/>
  <c r="Y24" i="6"/>
  <c r="Z24" i="6"/>
  <c r="AA24" i="6"/>
  <c r="W30" i="6"/>
  <c r="X30" i="6"/>
  <c r="Y30" i="6"/>
  <c r="Z30" i="6"/>
  <c r="AA30" i="6"/>
  <c r="W32" i="6"/>
  <c r="Y32" i="6"/>
  <c r="Z32" i="6"/>
  <c r="AA32" i="6"/>
  <c r="W34" i="6"/>
  <c r="X34" i="6"/>
  <c r="Y34" i="6"/>
  <c r="Z34" i="6"/>
  <c r="AA34" i="6"/>
  <c r="W35" i="6"/>
  <c r="X35" i="6"/>
  <c r="Y35" i="6"/>
  <c r="Z35" i="6"/>
  <c r="W44" i="6"/>
  <c r="X44" i="6"/>
  <c r="Y44" i="6"/>
  <c r="Z44" i="6"/>
  <c r="W46" i="6"/>
  <c r="X46" i="6"/>
  <c r="Y46" i="6"/>
  <c r="Z46" i="6"/>
  <c r="W61" i="6"/>
  <c r="X61" i="6"/>
  <c r="Y61" i="6"/>
  <c r="Z61" i="6"/>
  <c r="AG46" i="6" l="1"/>
  <c r="AG24" i="6"/>
  <c r="AG27" i="6"/>
  <c r="AG4" i="6"/>
  <c r="AG32" i="6"/>
  <c r="AG61" i="6"/>
  <c r="AG34" i="6"/>
  <c r="AG35" i="6"/>
  <c r="AG44" i="6"/>
  <c r="AG30" i="6"/>
  <c r="AB46" i="6"/>
  <c r="AB35" i="6"/>
  <c r="AB6" i="6"/>
  <c r="AB32" i="6"/>
  <c r="AB27" i="6"/>
  <c r="AB24" i="6"/>
  <c r="AB4" i="6"/>
  <c r="AB44" i="6"/>
  <c r="AB61" i="6"/>
  <c r="AB34" i="6"/>
  <c r="AB30" i="6"/>
  <c r="W4" i="5"/>
  <c r="W9" i="5"/>
  <c r="W5" i="5"/>
  <c r="W7" i="5"/>
  <c r="W2" i="5"/>
  <c r="W3" i="5"/>
  <c r="I34" i="5"/>
  <c r="S34" i="5"/>
  <c r="W34" i="5"/>
  <c r="I60" i="5"/>
  <c r="S60" i="5"/>
  <c r="W60" i="5"/>
  <c r="I41" i="5"/>
  <c r="S41" i="5"/>
  <c r="W41" i="5"/>
  <c r="I39" i="5"/>
  <c r="S39" i="5"/>
  <c r="W39" i="5"/>
  <c r="W20" i="5"/>
  <c r="W14" i="5"/>
  <c r="W30" i="5"/>
  <c r="W16" i="5"/>
  <c r="W10" i="5"/>
  <c r="W23" i="5"/>
  <c r="W8" i="5"/>
  <c r="W13" i="5"/>
  <c r="I44" i="5"/>
  <c r="S44" i="5"/>
  <c r="W44" i="5"/>
  <c r="W6" i="5"/>
  <c r="W15" i="5"/>
  <c r="W19" i="5"/>
  <c r="I36" i="5"/>
  <c r="S36" i="5"/>
  <c r="W36" i="5"/>
  <c r="W17" i="5"/>
  <c r="X60" i="5" l="1"/>
  <c r="R39" i="5"/>
  <c r="T39" i="5" s="1"/>
  <c r="K44" i="5"/>
  <c r="R44" i="5"/>
  <c r="T44" i="5" s="1"/>
  <c r="R41" i="5"/>
  <c r="T41" i="5" s="1"/>
  <c r="AA30" i="5"/>
  <c r="AA15" i="5"/>
  <c r="R34" i="5"/>
  <c r="T34" i="5" s="1"/>
  <c r="AA60" i="5"/>
  <c r="R60" i="5"/>
  <c r="T60" i="5" s="1"/>
  <c r="AA23" i="5"/>
  <c r="K36" i="5"/>
  <c r="R36" i="5"/>
  <c r="T36" i="5" s="1"/>
  <c r="AA14" i="5"/>
  <c r="X17" i="5"/>
  <c r="X16" i="5"/>
  <c r="Y16" i="5" s="1"/>
  <c r="Z16" i="5" s="1"/>
  <c r="X30" i="5"/>
  <c r="X2" i="5"/>
  <c r="Y2" i="5" s="1"/>
  <c r="Z2" i="5" s="1"/>
  <c r="U72" i="5"/>
  <c r="AA5" i="5"/>
  <c r="X6" i="5"/>
  <c r="X10" i="5"/>
  <c r="X14" i="5"/>
  <c r="AA9" i="5"/>
  <c r="K39" i="5"/>
  <c r="X44" i="5"/>
  <c r="Y44" i="5" s="1"/>
  <c r="X8" i="5"/>
  <c r="X3" i="5"/>
  <c r="AA4" i="5"/>
  <c r="AA3" i="5"/>
  <c r="X5" i="5"/>
  <c r="Y5" i="5" s="1"/>
  <c r="Z5" i="5" s="1"/>
  <c r="X20" i="5"/>
  <c r="X36" i="5"/>
  <c r="Y36" i="5" s="1"/>
  <c r="P71" i="5"/>
  <c r="R71" i="5" s="1"/>
  <c r="T71" i="5" s="1"/>
  <c r="X9" i="5"/>
  <c r="AA10" i="5"/>
  <c r="K41" i="5"/>
  <c r="X34" i="5"/>
  <c r="Y34" i="5" s="1"/>
  <c r="AA16" i="5"/>
  <c r="X23" i="5"/>
  <c r="X39" i="5"/>
  <c r="Y39" i="5" s="1"/>
  <c r="X19" i="5"/>
  <c r="X41" i="5"/>
  <c r="Y41" i="5" s="1"/>
  <c r="X7" i="5"/>
  <c r="X13" i="5"/>
  <c r="X15" i="5"/>
  <c r="Y15" i="5" s="1"/>
  <c r="Z15" i="5" s="1"/>
  <c r="Y60" i="5"/>
  <c r="Z60" i="5" s="1"/>
  <c r="AA20" i="5"/>
  <c r="X4" i="5"/>
  <c r="AA19" i="5"/>
  <c r="AA13" i="5"/>
  <c r="K60" i="5"/>
  <c r="K34" i="5"/>
  <c r="AA7" i="5"/>
  <c r="AA17" i="5"/>
  <c r="AA6" i="5"/>
  <c r="AA8" i="5"/>
  <c r="AB60" i="5" l="1"/>
  <c r="U74" i="5"/>
  <c r="U66" i="5"/>
  <c r="U64" i="5"/>
  <c r="U70" i="5"/>
  <c r="AB15" i="5"/>
  <c r="Y23" i="5"/>
  <c r="Z23" i="5" s="1"/>
  <c r="Y14" i="5"/>
  <c r="Z14" i="5" s="1"/>
  <c r="Y10" i="5"/>
  <c r="Z10" i="5" s="1"/>
  <c r="Y3" i="5"/>
  <c r="Z3" i="5" s="1"/>
  <c r="Y7" i="5"/>
  <c r="Z7" i="5" s="1"/>
  <c r="Y8" i="5"/>
  <c r="Z8" i="5" s="1"/>
  <c r="Y6" i="5"/>
  <c r="Z6" i="5" s="1"/>
  <c r="Y9" i="5"/>
  <c r="Z9" i="5" s="1"/>
  <c r="Y4" i="5"/>
  <c r="Z4" i="5" s="1"/>
  <c r="Y13" i="5"/>
  <c r="Z13" i="5" s="1"/>
  <c r="Y17" i="5"/>
  <c r="Z17" i="5" s="1"/>
  <c r="Y19" i="5"/>
  <c r="Z19" i="5" s="1"/>
  <c r="Y20" i="5"/>
  <c r="Z20" i="5" s="1"/>
  <c r="Y30" i="5"/>
  <c r="Z30" i="5" s="1"/>
  <c r="AB2" i="5"/>
  <c r="AB5" i="5"/>
  <c r="AB16" i="5"/>
  <c r="Z71" i="5" l="1"/>
  <c r="Z66" i="5"/>
  <c r="Z74" i="5"/>
  <c r="Z73" i="5"/>
  <c r="Z70" i="5"/>
  <c r="AB13" i="5"/>
  <c r="AB6" i="5"/>
  <c r="AB20" i="5"/>
  <c r="AB3" i="5"/>
  <c r="AB9" i="5"/>
  <c r="AB8" i="5"/>
  <c r="AB7" i="5"/>
  <c r="AB19" i="5"/>
  <c r="AB17" i="5"/>
  <c r="AB10" i="5"/>
  <c r="AB14" i="5"/>
  <c r="AB4" i="5"/>
  <c r="AB23" i="5"/>
  <c r="Z64" i="5"/>
  <c r="AB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Lusiani</author>
  </authors>
  <commentList>
    <comment ref="V6" authorId="0" shapeId="0" xr:uid="{B6E2BBC9-B75A-435A-9D79-545CE997FB01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Only FY2019 available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Lusiani</author>
  </authors>
  <commentList>
    <comment ref="A3" authorId="0" shapeId="0" xr:uid="{F240B361-A88E-4D81-9114-ECEF8843B310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FY ends in Feb-1, so calendar year/quarter is used, except for LTM.</t>
        </r>
      </text>
    </comment>
    <comment ref="A5" authorId="0" shapeId="0" xr:uid="{DAF3E02A-717B-4ED2-A17A-FAA417722D22}">
      <text>
        <r>
          <rPr>
            <b/>
            <sz val="9"/>
            <color indexed="81"/>
            <rFont val="Tahoma"/>
            <charset val="1"/>
          </rPr>
          <t>Nicholas Lusiani:</t>
        </r>
        <r>
          <rPr>
            <sz val="9"/>
            <color indexed="81"/>
            <rFont val="Tahoma"/>
            <charset val="1"/>
          </rPr>
          <t xml:space="preserve">
Company FY ends in January, so calendar year/quarter used here (Feb-end Jan.</t>
        </r>
      </text>
    </comment>
    <comment ref="A6" authorId="0" shapeId="0" xr:uid="{83C842F0-41CA-4684-929E-FA14124BE577}">
      <text>
        <r>
          <rPr>
            <b/>
            <sz val="9"/>
            <color indexed="81"/>
            <rFont val="Tahoma"/>
            <charset val="1"/>
          </rPr>
          <t>Nicholas Lusiani:</t>
        </r>
        <r>
          <rPr>
            <sz val="9"/>
            <color indexed="81"/>
            <rFont val="Tahoma"/>
            <charset val="1"/>
          </rPr>
          <t xml:space="preserve">
Company end of year May 31st. Calendar quarters used for 2020.</t>
        </r>
      </text>
    </comment>
    <comment ref="A9" authorId="0" shapeId="0" xr:uid="{DACCA3CE-2CB4-463E-8224-06F8F8B26D7E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FY ends in Feb-1, so calendar year/quarter is used.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Lusiani</author>
  </authors>
  <commentList>
    <comment ref="V29" authorId="0" shapeId="0" xr:uid="{79E8C9E2-91A9-4FEC-AC48-9AAAB28AFA3C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Only FY2019 available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Lusiani</author>
  </authors>
  <commentList>
    <comment ref="P6" authorId="0" shapeId="0" xr:uid="{6EFFB8A3-193B-49E3-9834-EB8F7DC264B7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9mos up to June 27 2020
</t>
        </r>
      </text>
    </comment>
    <comment ref="V6" authorId="0" shapeId="0" xr:uid="{EDEDC9C8-F97A-4FEA-AAAF-CBF24ADB1DE5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9mos up to June 27 2020
</t>
        </r>
      </text>
    </comment>
    <comment ref="AC6" authorId="0" shapeId="0" xr:uid="{89DE60B1-1B1E-4F39-83D6-D1009A4B20DE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9 mos ending 27 June</t>
        </r>
      </text>
    </comment>
    <comment ref="A19" authorId="0" shapeId="0" xr:uid="{FC220191-AEA1-4CFA-8BDF-6DB6108579F2}">
      <text>
        <r>
          <rPr>
            <b/>
            <sz val="9"/>
            <color indexed="81"/>
            <rFont val="Tahoma"/>
            <charset val="1"/>
          </rPr>
          <t>Nicholas Lusiani:</t>
        </r>
        <r>
          <rPr>
            <sz val="9"/>
            <color indexed="81"/>
            <rFont val="Tahoma"/>
            <charset val="1"/>
          </rPr>
          <t xml:space="preserve">
Dividends paid figures used from company's earnings statements.</t>
        </r>
      </text>
    </comment>
    <comment ref="J53" authorId="0" shapeId="0" xr:uid="{58428F89-5EAD-4A77-A2E5-F00959EF5024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Only 3 mos ending on 30-Jun 2020</t>
        </r>
      </text>
    </comment>
    <comment ref="P53" authorId="0" shapeId="0" xr:uid="{35BD4097-D7B6-4E71-84A0-C755D7311D61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Only 3 mos ending on 30-Jun 2020</t>
        </r>
      </text>
    </comment>
    <comment ref="J56" authorId="0" shapeId="0" xr:uid="{0E10C864-ED59-4641-99CC-D922BFF2A932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Data only for 3 mos ending Jun-20</t>
        </r>
      </text>
    </comment>
    <comment ref="P56" authorId="0" shapeId="0" xr:uid="{A7C841D4-AF0C-4E68-ACF2-DBC48CA8B5DC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Data only for 3 mos ending Jun-20</t>
        </r>
      </text>
    </comment>
    <comment ref="V56" authorId="0" shapeId="0" xr:uid="{BC549774-BE03-425E-8552-D4324953B5F1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Data only for 3 mos ending Jun-20</t>
        </r>
      </text>
    </comment>
    <comment ref="J60" authorId="0" shapeId="0" xr:uid="{2422C653-7966-4BEC-AD34-8ECFDD8B1E3E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9mos up to end June 2020</t>
        </r>
      </text>
    </comment>
    <comment ref="P60" authorId="0" shapeId="0" xr:uid="{F24EAB39-19B1-41A4-9AF6-05088ACEFC41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9mos up to end June 2020</t>
        </r>
      </text>
    </comment>
    <comment ref="V60" authorId="0" shapeId="0" xr:uid="{3800CCAE-C2C4-4AA8-BDB7-F331604FB784}">
      <text>
        <r>
          <rPr>
            <b/>
            <sz val="9"/>
            <color indexed="81"/>
            <rFont val="Tahoma"/>
            <family val="2"/>
          </rPr>
          <t>Nicholas Lusiani:</t>
        </r>
        <r>
          <rPr>
            <sz val="9"/>
            <color indexed="81"/>
            <rFont val="Tahoma"/>
            <family val="2"/>
          </rPr>
          <t xml:space="preserve">
9mos up to end June 2020</t>
        </r>
      </text>
    </comment>
  </commentList>
</comments>
</file>

<file path=xl/sharedStrings.xml><?xml version="1.0" encoding="utf-8"?>
<sst xmlns="http://schemas.openxmlformats.org/spreadsheetml/2006/main" count="914" uniqueCount="214">
  <si>
    <t>Industry</t>
  </si>
  <si>
    <t>Net Income (Global) FY2016</t>
  </si>
  <si>
    <t>FY2017</t>
  </si>
  <si>
    <t>FY2018</t>
  </si>
  <si>
    <t>FY2019</t>
  </si>
  <si>
    <t>FY2020 (TTM)</t>
  </si>
  <si>
    <t>Revenue Total FY2020 (TTM)</t>
  </si>
  <si>
    <t>Pandemic Profit Margin Ratio</t>
  </si>
  <si>
    <t>0.08 of R/D</t>
  </si>
  <si>
    <t>Excess Profit Tax Credit</t>
  </si>
  <si>
    <t>Excess Profits Tax Base</t>
  </si>
  <si>
    <t xml:space="preserve">Excess profit tax liability @ 95% </t>
  </si>
  <si>
    <t>Effective Tax Rate w/ 95% EPT, using Regular Corp Tax Liability</t>
  </si>
  <si>
    <t>Tech</t>
  </si>
  <si>
    <t>Telecom</t>
  </si>
  <si>
    <t>Healthcare</t>
  </si>
  <si>
    <t>Oil</t>
  </si>
  <si>
    <t>Retail</t>
  </si>
  <si>
    <t>Consumer goods</t>
  </si>
  <si>
    <t>Finance</t>
  </si>
  <si>
    <t>Energy</t>
  </si>
  <si>
    <t>Consumer Staples</t>
  </si>
  <si>
    <t>Company</t>
  </si>
  <si>
    <t>Consumer Goods</t>
  </si>
  <si>
    <t>Pharmaceutical</t>
  </si>
  <si>
    <t>FY2016</t>
  </si>
  <si>
    <t>Repurchase of Common Stock</t>
  </si>
  <si>
    <t>Total Dividends Paid</t>
  </si>
  <si>
    <t>Net Income (Global)</t>
  </si>
  <si>
    <t>Sector</t>
  </si>
  <si>
    <t>% Change to Avg</t>
  </si>
  <si>
    <t>R&amp;D FY2020 (TTM)</t>
  </si>
  <si>
    <t>Revenue Total FY 2016</t>
  </si>
  <si>
    <t>Revenue Total FY 2017</t>
  </si>
  <si>
    <t>Revenue Total FY 2018</t>
  </si>
  <si>
    <t>Revenue Total FY 2019</t>
  </si>
  <si>
    <t>AVG 2016-2019 Revenue</t>
  </si>
  <si>
    <t>Visa</t>
  </si>
  <si>
    <t>Microsoft</t>
  </si>
  <si>
    <t>Pfizer</t>
  </si>
  <si>
    <t>Intel</t>
  </si>
  <si>
    <t>Facebook</t>
  </si>
  <si>
    <t>Oracle</t>
  </si>
  <si>
    <t>AbbVie</t>
  </si>
  <si>
    <t>Apple</t>
  </si>
  <si>
    <t>Cisco Systems</t>
  </si>
  <si>
    <t>Merck</t>
  </si>
  <si>
    <t>Johnson &amp; Johnson</t>
  </si>
  <si>
    <t>Verizon</t>
  </si>
  <si>
    <t>Comcast</t>
  </si>
  <si>
    <t>Home Depot</t>
  </si>
  <si>
    <t>AT&amp;T</t>
  </si>
  <si>
    <t>Procter &amp; Gamble</t>
  </si>
  <si>
    <t>UnitedHealth</t>
  </si>
  <si>
    <t>Exxon Mobil</t>
  </si>
  <si>
    <t>Berkshire Hathaway</t>
  </si>
  <si>
    <t>Charter</t>
  </si>
  <si>
    <t>Amazon</t>
  </si>
  <si>
    <t>Chevron</t>
  </si>
  <si>
    <t>Walmart</t>
  </si>
  <si>
    <t>CVS Health</t>
  </si>
  <si>
    <t>Google</t>
  </si>
  <si>
    <t>% Change in Profit Margins</t>
  </si>
  <si>
    <t>Pre-Pandemic Profit Margin Ratio</t>
  </si>
  <si>
    <t>AVG FYs 2016-2019</t>
  </si>
  <si>
    <t>FY 2020 (TTM)</t>
  </si>
  <si>
    <t>US</t>
  </si>
  <si>
    <t>HQ country</t>
  </si>
  <si>
    <t>Includes Q2?</t>
  </si>
  <si>
    <t>Yes</t>
  </si>
  <si>
    <t>Samsung Electronics Co., Ltd. (KOSE:A005930)</t>
  </si>
  <si>
    <t>South Korea</t>
  </si>
  <si>
    <t>Royal Dutch Shell plc (ENXTAM:RDSA)</t>
  </si>
  <si>
    <t>Netherlands</t>
  </si>
  <si>
    <t>Toyota Motor Corporation (TSE:7203)</t>
  </si>
  <si>
    <t>Automotive</t>
  </si>
  <si>
    <t>Japan</t>
  </si>
  <si>
    <t>France</t>
  </si>
  <si>
    <t>Deutsche Telekom AG (XTRA:DTE)</t>
  </si>
  <si>
    <t>Germany</t>
  </si>
  <si>
    <t>Roche Holding AG (SWX:ROG)</t>
  </si>
  <si>
    <t>Switzerland</t>
  </si>
  <si>
    <t>No data</t>
  </si>
  <si>
    <t>BHP Group (ASX:BHP)</t>
  </si>
  <si>
    <t>Mining</t>
  </si>
  <si>
    <t>Australia</t>
  </si>
  <si>
    <t>Nestlé S.A. (SWX:NESN)</t>
  </si>
  <si>
    <t>Novartis AG (SWX:NOVN)</t>
  </si>
  <si>
    <t>Communications</t>
  </si>
  <si>
    <t>India</t>
  </si>
  <si>
    <t>Technology</t>
  </si>
  <si>
    <t>South Africa</t>
  </si>
  <si>
    <t>Materials</t>
  </si>
  <si>
    <t>Nigeria</t>
  </si>
  <si>
    <t>Brazil</t>
  </si>
  <si>
    <t>Utilities</t>
  </si>
  <si>
    <t>Company Name</t>
  </si>
  <si>
    <t>Index Constituents [Primary Listing]</t>
  </si>
  <si>
    <t>EBITDA [LTM] ($USDmm, Historical rate)</t>
  </si>
  <si>
    <t>Apple Inc. (NasdaqGS:AAPL)</t>
  </si>
  <si>
    <t>S&amp;P Global 100 Index</t>
  </si>
  <si>
    <t>Microsoft Corporation (NasdaqGS:MSFT)</t>
  </si>
  <si>
    <t>Alphabet Inc. (NasdaqGS:GOOG.L)</t>
  </si>
  <si>
    <t>Intel Corporation (NasdaqGS:INTC)</t>
  </si>
  <si>
    <t>Amazon.com, Inc. (NasdaqGS:AMZN)</t>
  </si>
  <si>
    <t>Walmart Inc. (NYSE:WMT)</t>
  </si>
  <si>
    <t>Chevron Corporation (NYSE:CVX)</t>
  </si>
  <si>
    <t>Exxon Mobil Corporation (NYSE:XOM)</t>
  </si>
  <si>
    <t>Johnson &amp; Johnson (NYSE:JNJ)</t>
  </si>
  <si>
    <t>TOTAL SE (ENXTPA:FP)</t>
  </si>
  <si>
    <t>BP PLC (LSE:BP.)</t>
  </si>
  <si>
    <t>Pfizer Inc. (NYSE:PFE)</t>
  </si>
  <si>
    <t>The Procter &amp; Gamble Company (NYSE:PG)</t>
  </si>
  <si>
    <t>Merck &amp; Co., Inc. (NYSE:MRK)</t>
  </si>
  <si>
    <t>Rio Tinto Group (LSE:RIO)</t>
  </si>
  <si>
    <t>International Business Machines Corporation (NYSE:IBM)</t>
  </si>
  <si>
    <t>LVMH Moët Hennessy - Louis Vuitton, Société Européenne (ENXTPA:MC)</t>
  </si>
  <si>
    <t>1) Index Constituents (All Listings): S&amp;P Global 100 Index (^OOI)</t>
  </si>
  <si>
    <t>2) EBITDA [LTM] ($USDmm, Historical rate): is greater than 0 (Unreported data set to 0)</t>
  </si>
  <si>
    <t>Sample</t>
  </si>
  <si>
    <t>Global</t>
  </si>
  <si>
    <t>Q1/Q2 2020</t>
  </si>
  <si>
    <t>MICs</t>
  </si>
  <si>
    <t>UK</t>
  </si>
  <si>
    <t>Regular Corporate Tax liability @ Statutory Tax Rate</t>
  </si>
  <si>
    <t>Denmark</t>
  </si>
  <si>
    <t>TOTAL</t>
  </si>
  <si>
    <t>Industrial</t>
  </si>
  <si>
    <t>Gold</t>
  </si>
  <si>
    <t>Italy</t>
  </si>
  <si>
    <t>US companies</t>
  </si>
  <si>
    <t>European companies</t>
  </si>
  <si>
    <t>Shareholder Payouts as % Net Earnings</t>
  </si>
  <si>
    <t>Total Q1/Q2 Payout</t>
  </si>
  <si>
    <t>Global SP 100 Top 25 Most Profitable Companies</t>
  </si>
  <si>
    <t>Big Tech</t>
  </si>
  <si>
    <t>Charter Communications</t>
  </si>
  <si>
    <t>No</t>
  </si>
  <si>
    <t>Shell</t>
  </si>
  <si>
    <t>BP</t>
  </si>
  <si>
    <t>Petrobras</t>
  </si>
  <si>
    <t>Seplat Petroleum</t>
  </si>
  <si>
    <t>Oil Profits vs Shareholder Payouts, January-July, 2020</t>
  </si>
  <si>
    <t>Net Earnings (Global)</t>
  </si>
  <si>
    <t>For the Fiscal Period Ending</t>
  </si>
  <si>
    <t>Nestlé</t>
  </si>
  <si>
    <t>Roche</t>
  </si>
  <si>
    <t>Deutsche Telekom</t>
  </si>
  <si>
    <t>Telecom Italia</t>
  </si>
  <si>
    <t>ASML</t>
  </si>
  <si>
    <t>Reliance Industries</t>
  </si>
  <si>
    <t>Power Grid Corporation of India</t>
  </si>
  <si>
    <t>Novo Nordisk</t>
  </si>
  <si>
    <t>AngloGold Ashanti</t>
  </si>
  <si>
    <t>Tata Consultancy</t>
  </si>
  <si>
    <t>IBM</t>
  </si>
  <si>
    <t>Novartis</t>
  </si>
  <si>
    <t>Samsung</t>
  </si>
  <si>
    <t>BUA Cement</t>
  </si>
  <si>
    <t>Dangote Cement</t>
  </si>
  <si>
    <t>Nigerian Breweries</t>
  </si>
  <si>
    <t>Flour Mills of Nigeria</t>
  </si>
  <si>
    <t>Toyota</t>
  </si>
  <si>
    <t>Bharti Airtel</t>
  </si>
  <si>
    <t>Oil and Natural Gas Corporation</t>
  </si>
  <si>
    <t>BASF</t>
  </si>
  <si>
    <t>LVMH Moët Hennessy - Louis Vuitton</t>
  </si>
  <si>
    <t>JBS</t>
  </si>
  <si>
    <t>Vale</t>
  </si>
  <si>
    <t>Rio Tinto</t>
  </si>
  <si>
    <t>MTN Group</t>
  </si>
  <si>
    <t>BHP</t>
  </si>
  <si>
    <t>GAFA</t>
  </si>
  <si>
    <t>Big Pharma</t>
  </si>
  <si>
    <t>Excess Pandemic Profits</t>
  </si>
  <si>
    <t>Pandemic Profiteers</t>
  </si>
  <si>
    <t>Eletrobrás</t>
  </si>
  <si>
    <t>Yes, but not for shareholder payout info</t>
  </si>
  <si>
    <t>Excess profit tax liability</t>
  </si>
  <si>
    <t>MEDIAN 5 YRS</t>
  </si>
  <si>
    <t>Pharmaceutical companies</t>
  </si>
  <si>
    <t>Apparel</t>
  </si>
  <si>
    <t>Fast Retailing Co., Ltd. (TSE: 9983)</t>
  </si>
  <si>
    <t>Kering SA (ENXTPA:KER)</t>
  </si>
  <si>
    <t>Adidas AG (XTRA:ADS)</t>
  </si>
  <si>
    <t>The TJX Companies, Inc. (NYSE:TJX)</t>
  </si>
  <si>
    <t>V.F. Corporation (NYSE:VFC)</t>
  </si>
  <si>
    <t>NIKE, Inc. (NYSE:NKE)</t>
  </si>
  <si>
    <t>Spain</t>
  </si>
  <si>
    <t>Industria de Diseño Textil, S.A. (BME:ITX)</t>
  </si>
  <si>
    <t>Sweden</t>
  </si>
  <si>
    <t>H&amp;M Hennes &amp; Mauritz AB (OM:HM B)</t>
  </si>
  <si>
    <t>FY2020 (Q2)</t>
  </si>
  <si>
    <t>FY2020 (Q1)</t>
  </si>
  <si>
    <t>Investor Payout Ratio</t>
  </si>
  <si>
    <t>Dividends</t>
  </si>
  <si>
    <t>Net Income</t>
  </si>
  <si>
    <t>Headquarters - Country</t>
  </si>
  <si>
    <t>Crédit Agricole Group</t>
  </si>
  <si>
    <t>Top 25 Total Payouts</t>
  </si>
  <si>
    <t>GAFA plus Microsoft</t>
  </si>
  <si>
    <t>Screening Criteria (Run on July 15, 2020)</t>
  </si>
  <si>
    <t>Full company sample</t>
  </si>
  <si>
    <t>Total payouts of full sample</t>
  </si>
  <si>
    <t>Total payouts (DV+BB)</t>
  </si>
  <si>
    <t>Stock buybacks</t>
  </si>
  <si>
    <t>FY2020(TTM)</t>
  </si>
  <si>
    <t>Gap, Inc. (NYSE:GPS)</t>
  </si>
  <si>
    <t>Total payouts of Pandemic Profiteers</t>
  </si>
  <si>
    <t>Q1/Q2 2020 Payout Ratio</t>
  </si>
  <si>
    <t>FY2016-2019 BBs and DVs</t>
  </si>
  <si>
    <t>FY2019 BBs and DVs</t>
  </si>
  <si>
    <t>MEDIAN FYs2016-2019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</si>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</sst>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\(&quot;$&quot;#,##0\)"/>
    <numFmt numFmtId="165" formatCode="#.00,,,\b;\-#.00,,,\b;0"/>
    <numFmt numFmtId="166" formatCode="0.0%"/>
    <numFmt numFmtId="167" formatCode="&quot;$&quot;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 applyAlignment="0"/>
    <xf numFmtId="0" fontId="5" fillId="2" borderId="0" applyAlignment="0"/>
    <xf numFmtId="0" fontId="7" fillId="0" borderId="0"/>
    <xf numFmtId="0" fontId="9" fillId="0" borderId="0"/>
    <xf numFmtId="0" fontId="10" fillId="0" borderId="0" applyAlignment="0"/>
    <xf numFmtId="0" fontId="11" fillId="0" borderId="0" applyAlignment="0"/>
    <xf numFmtId="0" fontId="12" fillId="3" borderId="0" applyAlignment="0"/>
    <xf numFmtId="0" fontId="13" fillId="4" borderId="0" applyAlignment="0"/>
    <xf numFmtId="0" fontId="14" fillId="5" borderId="0" applyAlignment="0"/>
    <xf numFmtId="0" fontId="15" fillId="0" borderId="0" applyAlignment="0"/>
    <xf numFmtId="0" fontId="16" fillId="0" borderId="0" applyAlignment="0"/>
    <xf numFmtId="0" fontId="17" fillId="0" borderId="0" applyAlignment="0"/>
    <xf numFmtId="0" fontId="18" fillId="0" borderId="0" applyAlignment="0"/>
    <xf numFmtId="0" fontId="17" fillId="0" borderId="0" applyAlignment="0">
      <alignment wrapText="1"/>
    </xf>
    <xf numFmtId="0" fontId="19" fillId="0" borderId="0" applyAlignment="0"/>
    <xf numFmtId="0" fontId="20" fillId="0" borderId="0" applyAlignment="0"/>
    <xf numFmtId="0" fontId="21" fillId="0" borderId="0" applyAlignment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166" fontId="0" fillId="0" borderId="0" xfId="0" applyNumberFormat="1" applyFont="1" applyBorder="1"/>
    <xf numFmtId="0" fontId="0" fillId="0" borderId="0" xfId="0" applyFont="1" applyFill="1" applyAlignment="1">
      <alignment vertical="center"/>
    </xf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/>
    <xf numFmtId="16" fontId="0" fillId="0" borderId="0" xfId="0" applyNumberFormat="1" applyFill="1"/>
    <xf numFmtId="166" fontId="0" fillId="0" borderId="0" xfId="0" applyNumberFormat="1" applyFont="1"/>
    <xf numFmtId="0" fontId="0" fillId="0" borderId="0" xfId="0" applyFill="1" applyAlignment="1">
      <alignment horizontal="right"/>
    </xf>
    <xf numFmtId="10" fontId="0" fillId="0" borderId="0" xfId="0" applyNumberFormat="1"/>
    <xf numFmtId="166" fontId="1" fillId="0" borderId="0" xfId="0" applyNumberFormat="1" applyFont="1"/>
    <xf numFmtId="9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horizontal="right"/>
    </xf>
    <xf numFmtId="164" fontId="1" fillId="0" borderId="0" xfId="0" applyNumberFormat="1" applyFont="1" applyFill="1"/>
    <xf numFmtId="166" fontId="0" fillId="0" borderId="2" xfId="0" applyNumberFormat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/>
    <xf numFmtId="0" fontId="0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Border="1"/>
    <xf numFmtId="10" fontId="0" fillId="0" borderId="0" xfId="0" applyNumberFormat="1" applyFill="1" applyBorder="1"/>
    <xf numFmtId="165" fontId="22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165" fontId="1" fillId="0" borderId="0" xfId="0" applyNumberFormat="1" applyFont="1" applyFill="1"/>
    <xf numFmtId="165" fontId="0" fillId="0" borderId="1" xfId="0" applyNumberFormat="1" applyFont="1" applyFill="1" applyBorder="1" applyAlignment="1" applyProtection="1">
      <alignment vertical="center"/>
    </xf>
    <xf numFmtId="166" fontId="0" fillId="0" borderId="1" xfId="0" applyNumberFormat="1" applyFont="1" applyFill="1" applyBorder="1"/>
    <xf numFmtId="166" fontId="0" fillId="0" borderId="0" xfId="0" applyNumberFormat="1" applyFont="1" applyFill="1"/>
    <xf numFmtId="166" fontId="0" fillId="0" borderId="0" xfId="0" applyNumberFormat="1" applyFill="1" applyBorder="1"/>
    <xf numFmtId="10" fontId="0" fillId="0" borderId="0" xfId="0" applyNumberFormat="1" applyFill="1"/>
    <xf numFmtId="10" fontId="8" fillId="0" borderId="0" xfId="0" applyNumberFormat="1" applyFont="1" applyFill="1"/>
    <xf numFmtId="10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6" fontId="1" fillId="0" borderId="0" xfId="0" applyNumberFormat="1" applyFont="1" applyFill="1"/>
    <xf numFmtId="10" fontId="0" fillId="0" borderId="1" xfId="0" applyNumberFormat="1" applyFill="1" applyBorder="1"/>
    <xf numFmtId="164" fontId="0" fillId="0" borderId="0" xfId="0" applyNumberFormat="1" applyFont="1" applyFill="1"/>
    <xf numFmtId="167" fontId="0" fillId="0" borderId="0" xfId="0" applyNumberFormat="1" applyFont="1" applyFill="1" applyBorder="1"/>
    <xf numFmtId="3" fontId="23" fillId="0" borderId="0" xfId="3" applyNumberFormat="1" applyFont="1" applyFill="1"/>
    <xf numFmtId="10" fontId="23" fillId="0" borderId="0" xfId="3" applyNumberFormat="1" applyFont="1" applyFill="1"/>
    <xf numFmtId="10" fontId="23" fillId="0" borderId="0" xfId="3" applyNumberFormat="1" applyFont="1" applyFill="1" applyAlignment="1">
      <alignment horizontal="right"/>
    </xf>
    <xf numFmtId="3" fontId="23" fillId="0" borderId="0" xfId="3" applyNumberFormat="1" applyFont="1" applyFill="1" applyBorder="1"/>
    <xf numFmtId="3" fontId="23" fillId="0" borderId="0" xfId="3" applyNumberFormat="1" applyFont="1" applyFill="1" applyAlignment="1">
      <alignment horizontal="right"/>
    </xf>
    <xf numFmtId="0" fontId="23" fillId="0" borderId="0" xfId="3" applyFont="1" applyFill="1"/>
    <xf numFmtId="0" fontId="23" fillId="0" borderId="0" xfId="3" applyFont="1" applyFill="1" applyAlignment="1">
      <alignment horizontal="right"/>
    </xf>
    <xf numFmtId="0" fontId="24" fillId="0" borderId="5" xfId="3" applyFont="1" applyFill="1" applyBorder="1" applyAlignment="1">
      <alignment horizontal="center"/>
    </xf>
    <xf numFmtId="0" fontId="24" fillId="0" borderId="4" xfId="3" applyFont="1" applyFill="1" applyBorder="1" applyAlignment="1">
      <alignment horizontal="center"/>
    </xf>
    <xf numFmtId="0" fontId="23" fillId="0" borderId="0" xfId="3" applyFont="1" applyFill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2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10" fontId="1" fillId="0" borderId="0" xfId="3" applyNumberFormat="1" applyFont="1" applyFill="1" applyAlignment="1">
      <alignment horizontal="center" vertical="center"/>
    </xf>
    <xf numFmtId="0" fontId="1" fillId="0" borderId="0" xfId="3" applyFont="1" applyFill="1" applyAlignment="1">
      <alignment horizontal="center"/>
    </xf>
    <xf numFmtId="10" fontId="1" fillId="0" borderId="0" xfId="3" applyNumberFormat="1" applyFont="1" applyFill="1" applyAlignment="1">
      <alignment horizontal="center"/>
    </xf>
    <xf numFmtId="0" fontId="1" fillId="0" borderId="0" xfId="3" applyFont="1" applyFill="1"/>
    <xf numFmtId="0" fontId="0" fillId="0" borderId="0" xfId="3" applyFont="1" applyFill="1"/>
    <xf numFmtId="0" fontId="0" fillId="0" borderId="1" xfId="0" applyFill="1" applyBorder="1"/>
    <xf numFmtId="165" fontId="1" fillId="0" borderId="0" xfId="0" applyNumberFormat="1" applyFont="1"/>
    <xf numFmtId="166" fontId="0" fillId="0" borderId="2" xfId="0" applyNumberFormat="1" applyFont="1" applyBorder="1"/>
    <xf numFmtId="165" fontId="0" fillId="0" borderId="0" xfId="0" applyNumberFormat="1" applyFont="1" applyFill="1"/>
    <xf numFmtId="165" fontId="0" fillId="0" borderId="0" xfId="0" applyNumberFormat="1" applyFont="1"/>
    <xf numFmtId="0" fontId="8" fillId="0" borderId="1" xfId="0" applyNumberFormat="1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4" fillId="0" borderId="5" xfId="3" applyFont="1" applyFill="1" applyBorder="1" applyAlignment="1">
      <alignment horizontal="center"/>
    </xf>
    <xf numFmtId="0" fontId="24" fillId="0" borderId="4" xfId="3" applyFont="1" applyFill="1" applyBorder="1" applyAlignment="1">
      <alignment horizontal="center"/>
    </xf>
    <xf numFmtId="0" fontId="24" fillId="0" borderId="3" xfId="3" applyFont="1" applyFill="1" applyBorder="1" applyAlignment="1">
      <alignment horizontal="center"/>
    </xf>
    <xf numFmtId="10" fontId="24" fillId="0" borderId="5" xfId="3" applyNumberFormat="1" applyFont="1" applyFill="1" applyBorder="1" applyAlignment="1">
      <alignment horizontal="center"/>
    </xf>
    <xf numFmtId="10" fontId="24" fillId="0" borderId="4" xfId="3" applyNumberFormat="1" applyFont="1" applyFill="1" applyBorder="1" applyAlignment="1">
      <alignment horizontal="center"/>
    </xf>
    <xf numFmtId="10" fontId="24" fillId="0" borderId="3" xfId="3" applyNumberFormat="1" applyFont="1" applyFill="1" applyBorder="1" applyAlignment="1">
      <alignment horizontal="center"/>
    </xf>
  </cellXfs>
  <cellStyles count="18">
    <cellStyle name="ChartingText" xfId="16" xr:uid="{282C5269-28FF-4A50-A448-16B70AAF5DBF}"/>
    <cellStyle name="CHPTop" xfId="17" xr:uid="{6A75BA03-382A-42A8-9B71-F0E81056F960}"/>
    <cellStyle name="ColumnHeaderNormal" xfId="2" xr:uid="{29D6615F-6F74-4AF0-ADC7-F7D8E2C7A8D8}"/>
    <cellStyle name="Invisible" xfId="15" xr:uid="{F49AEBC0-7B9A-4A89-9A8C-E9E7BC02E982}"/>
    <cellStyle name="NewColumnHeaderNormal" xfId="8" xr:uid="{852AB4A1-AC8E-47D5-B2A5-13F65C3F1BEA}"/>
    <cellStyle name="NewSectionHeaderNormal" xfId="7" xr:uid="{BA32C9A4-B84A-47A0-9142-E4F7F7AAD1D0}"/>
    <cellStyle name="NewTitleNormal" xfId="6" xr:uid="{7DFCC30E-2712-4820-ADD0-FB06A36A42F4}"/>
    <cellStyle name="Normal" xfId="0" builtinId="0"/>
    <cellStyle name="Normal 2" xfId="3" xr:uid="{A49A5947-1801-4F1B-B2A6-32D9806DAA02}"/>
    <cellStyle name="Normal 3" xfId="4" xr:uid="{13A5BAB1-25CF-4188-A34D-86D122EC983D}"/>
    <cellStyle name="SectionHeaderNormal" xfId="9" xr:uid="{ABA999D5-B7DB-4263-B8D0-F8F1A8CEBFD6}"/>
    <cellStyle name="SubScript" xfId="11" xr:uid="{32A5295F-4EDC-4894-BC16-81A0C937AAC9}"/>
    <cellStyle name="SuperScript" xfId="10" xr:uid="{BCF49AFE-97F3-4AA4-B39B-041F677432E8}"/>
    <cellStyle name="TextBold" xfId="12" xr:uid="{5F5F21E4-EF6A-4602-BDAE-588921EF5252}"/>
    <cellStyle name="TextItalic" xfId="13" xr:uid="{F168931E-8F27-4E2D-9724-F2FE0A9714B0}"/>
    <cellStyle name="TextNormal" xfId="1" xr:uid="{8166F5F3-44E6-4935-AF53-3C380F34C370}"/>
    <cellStyle name="TitleNormal" xfId="5" xr:uid="{9BEDA8CC-CEA1-4643-843D-D1582CDC888B}"/>
    <cellStyle name="Total 2" xfId="14" xr:uid="{08AEFBE1-9C8A-4923-A135-22B03565DC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Oil Profits vs Shareholder Payouts</a:t>
            </a:r>
            <a:endParaRPr lang="en-US" sz="1200" b="1"/>
          </a:p>
          <a:p>
            <a:pPr>
              <a:defRPr/>
            </a:pPr>
            <a:r>
              <a:rPr lang="en-US" sz="1200"/>
              <a:t>(January-July</a:t>
            </a:r>
            <a:r>
              <a:rPr lang="en-US" sz="1200" baseline="0"/>
              <a:t> </a:t>
            </a:r>
            <a:r>
              <a:rPr lang="en-US" sz="1200"/>
              <a:t>2020, 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OilLossShareholderGain!$B$2</c:f>
              <c:strCache>
                <c:ptCount val="1"/>
                <c:pt idx="0">
                  <c:v>Net Earnings (Global)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OilLossShareholderGain!$A$3:$A$8</c:f>
              <c:strCache>
                <c:ptCount val="6"/>
                <c:pt idx="0">
                  <c:v>TOTAL</c:v>
                </c:pt>
                <c:pt idx="1">
                  <c:v>Shell</c:v>
                </c:pt>
                <c:pt idx="2">
                  <c:v>Exxon Mobil</c:v>
                </c:pt>
                <c:pt idx="3">
                  <c:v>BP</c:v>
                </c:pt>
                <c:pt idx="4">
                  <c:v>Chevron</c:v>
                </c:pt>
                <c:pt idx="5">
                  <c:v>Petrobras</c:v>
                </c:pt>
              </c:strCache>
            </c:strRef>
          </c:cat>
          <c:val>
            <c:numRef>
              <c:f>OilLossShareholderGain!$B$3:$B$8</c:f>
              <c:numCache>
                <c:formatCode>#.00,,,\b;\-#.00,,,\b;0</c:formatCode>
                <c:ptCount val="6"/>
                <c:pt idx="0">
                  <c:v>-8335000000</c:v>
                </c:pt>
                <c:pt idx="1">
                  <c:v>-18155000000</c:v>
                </c:pt>
                <c:pt idx="2">
                  <c:v>-1690000000</c:v>
                </c:pt>
                <c:pt idx="3">
                  <c:v>-21213000000</c:v>
                </c:pt>
                <c:pt idx="4">
                  <c:v>-4671000000</c:v>
                </c:pt>
                <c:pt idx="5">
                  <c:v>-9350317560.2280006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A-4435-AAC9-97490F6C8EC4}"/>
            </c:ext>
          </c:extLst>
        </c:ser>
        <c:ser>
          <c:idx val="1"/>
          <c:order val="1"/>
          <c:tx>
            <c:strRef>
              <c:f>OilLossShareholderGain!$C$2</c:f>
              <c:strCache>
                <c:ptCount val="1"/>
                <c:pt idx="0">
                  <c:v>Total Dividends Paid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OilLossShareholderGain!$A$3:$A$8</c:f>
              <c:strCache>
                <c:ptCount val="6"/>
                <c:pt idx="0">
                  <c:v>TOTAL</c:v>
                </c:pt>
                <c:pt idx="1">
                  <c:v>Shell</c:v>
                </c:pt>
                <c:pt idx="2">
                  <c:v>Exxon Mobil</c:v>
                </c:pt>
                <c:pt idx="3">
                  <c:v>BP</c:v>
                </c:pt>
                <c:pt idx="4">
                  <c:v>Chevron</c:v>
                </c:pt>
                <c:pt idx="5">
                  <c:v>Petrobras</c:v>
                </c:pt>
              </c:strCache>
            </c:strRef>
          </c:cat>
          <c:val>
            <c:numRef>
              <c:f>OilLossShareholderGain!$C$3:$C$8</c:f>
              <c:numCache>
                <c:formatCode>#.00,,,\b;\-#.00,,,\b;0</c:formatCode>
                <c:ptCount val="6"/>
                <c:pt idx="0">
                  <c:v>4041000000</c:v>
                </c:pt>
                <c:pt idx="1">
                  <c:v>4880000000</c:v>
                </c:pt>
                <c:pt idx="2">
                  <c:v>7434000000</c:v>
                </c:pt>
                <c:pt idx="3">
                  <c:v>4221000000</c:v>
                </c:pt>
                <c:pt idx="4">
                  <c:v>4800000000</c:v>
                </c:pt>
                <c:pt idx="5">
                  <c:v>807723193.09800005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A-4435-AAC9-97490F6C8EC4}"/>
            </c:ext>
          </c:extLst>
        </c:ser>
        <c:ser>
          <c:idx val="2"/>
          <c:order val="2"/>
          <c:tx>
            <c:strRef>
              <c:f>OilLossShareholderGain!$D$2</c:f>
              <c:strCache>
                <c:ptCount val="1"/>
                <c:pt idx="0">
                  <c:v>Repurchase of Common Stock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OilLossShareholderGain!$A$3:$A$8</c:f>
              <c:strCache>
                <c:ptCount val="6"/>
                <c:pt idx="0">
                  <c:v>TOTAL</c:v>
                </c:pt>
                <c:pt idx="1">
                  <c:v>Shell</c:v>
                </c:pt>
                <c:pt idx="2">
                  <c:v>Exxon Mobil</c:v>
                </c:pt>
                <c:pt idx="3">
                  <c:v>BP</c:v>
                </c:pt>
                <c:pt idx="4">
                  <c:v>Chevron</c:v>
                </c:pt>
                <c:pt idx="5">
                  <c:v>Petrobras</c:v>
                </c:pt>
              </c:strCache>
            </c:strRef>
          </c:cat>
          <c:val>
            <c:numRef>
              <c:f>OilLossShareholderGain!$D$3:$D$8</c:f>
              <c:numCache>
                <c:formatCode>#.00,,,\b;\-#.00,,,\b;0</c:formatCode>
                <c:ptCount val="6"/>
                <c:pt idx="0">
                  <c:v>611000000</c:v>
                </c:pt>
                <c:pt idx="1">
                  <c:v>1901000000</c:v>
                </c:pt>
                <c:pt idx="2">
                  <c:v>305000000</c:v>
                </c:pt>
                <c:pt idx="3">
                  <c:v>824000000</c:v>
                </c:pt>
                <c:pt idx="4">
                  <c:v>1600000000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A-4435-AAC9-97490F6C8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0635056"/>
        <c:axId val="1526539760"/>
      </c:barChart>
      <c:catAx>
        <c:axId val="14406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539760"/>
        <c:crosses val="autoZero"/>
        <c:auto val="1"/>
        <c:lblAlgn val="ctr"/>
        <c:lblOffset val="100"/>
        <c:noMultiLvlLbl val="0"/>
      </c:catAx>
      <c:valAx>
        <c:axId val="15265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,\b;\-#.00,,,\b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63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Pre-Pandemic vs. COVID Pandemic Profits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of Top Global Corporations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(FY2016-2020, USD)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4757960843737353"/>
          <c:y val="7.43362997614214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645834439196124E-2"/>
          <c:y val="0.19832924776347247"/>
          <c:w val="0.90057125530670934"/>
          <c:h val="0.57188476273648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PandemicProfitSample!$I$1</c:f>
              <c:strCache>
                <c:ptCount val="1"/>
                <c:pt idx="0">
                  <c:v>AVG FYs 2016-2019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PandemicProfitSample!$A$2:$A$33</c:f>
              <c:strCache>
                <c:ptCount val="32"/>
                <c:pt idx="0">
                  <c:v>BUA Cement</c:v>
                </c:pt>
                <c:pt idx="1">
                  <c:v>AngloGold Ashanti</c:v>
                </c:pt>
                <c:pt idx="2">
                  <c:v>MTN Group</c:v>
                </c:pt>
                <c:pt idx="3">
                  <c:v>Telecom Italia</c:v>
                </c:pt>
                <c:pt idx="4">
                  <c:v>Power Grid Corporation of India</c:v>
                </c:pt>
                <c:pt idx="5">
                  <c:v>ASML</c:v>
                </c:pt>
                <c:pt idx="6">
                  <c:v>Tata Consultancy</c:v>
                </c:pt>
                <c:pt idx="7">
                  <c:v>Deutsche Telekom</c:v>
                </c:pt>
                <c:pt idx="8">
                  <c:v>Reliance Industries</c:v>
                </c:pt>
                <c:pt idx="9">
                  <c:v>Novo Nordisk</c:v>
                </c:pt>
                <c:pt idx="10">
                  <c:v>AbbVie</c:v>
                </c:pt>
                <c:pt idx="11">
                  <c:v>Crédit Agricole Group</c:v>
                </c:pt>
                <c:pt idx="12">
                  <c:v>BHP</c:v>
                </c:pt>
                <c:pt idx="13">
                  <c:v>CVS Health</c:v>
                </c:pt>
                <c:pt idx="14">
                  <c:v>Oracle</c:v>
                </c:pt>
                <c:pt idx="15">
                  <c:v>Merck</c:v>
                </c:pt>
                <c:pt idx="16">
                  <c:v>Cisco Systems</c:v>
                </c:pt>
                <c:pt idx="17">
                  <c:v>Visa</c:v>
                </c:pt>
                <c:pt idx="18">
                  <c:v>Home Depot</c:v>
                </c:pt>
                <c:pt idx="19">
                  <c:v>Procter &amp; Gamble</c:v>
                </c:pt>
                <c:pt idx="20">
                  <c:v>Amazon</c:v>
                </c:pt>
                <c:pt idx="21">
                  <c:v>Roche</c:v>
                </c:pt>
                <c:pt idx="22">
                  <c:v>Pfizer</c:v>
                </c:pt>
                <c:pt idx="23">
                  <c:v>Nestlé</c:v>
                </c:pt>
                <c:pt idx="24">
                  <c:v>Johnson &amp; Johnson</c:v>
                </c:pt>
                <c:pt idx="25">
                  <c:v>UnitedHealth</c:v>
                </c:pt>
                <c:pt idx="26">
                  <c:v>Walmart</c:v>
                </c:pt>
                <c:pt idx="27">
                  <c:v>Facebook</c:v>
                </c:pt>
                <c:pt idx="28">
                  <c:v>Intel</c:v>
                </c:pt>
                <c:pt idx="29">
                  <c:v>Google</c:v>
                </c:pt>
                <c:pt idx="30">
                  <c:v>Microsoft</c:v>
                </c:pt>
                <c:pt idx="31">
                  <c:v>Apple</c:v>
                </c:pt>
              </c:strCache>
            </c:strRef>
          </c:cat>
          <c:val>
            <c:numRef>
              <c:f>PandemicProfitSample!$I$2:$I$33</c:f>
              <c:numCache>
                <c:formatCode>#.00,,,\b;\-#.00,,,\b;0</c:formatCode>
                <c:ptCount val="32"/>
                <c:pt idx="0">
                  <c:v>117366666.66666667</c:v>
                </c:pt>
                <c:pt idx="1">
                  <c:v>-1750000</c:v>
                </c:pt>
                <c:pt idx="2">
                  <c:v>353200000</c:v>
                </c:pt>
                <c:pt idx="3">
                  <c:v>666750000</c:v>
                </c:pt>
                <c:pt idx="4">
                  <c:v>1189500000</c:v>
                </c:pt>
                <c:pt idx="5">
                  <c:v>2500750000</c:v>
                </c:pt>
                <c:pt idx="6">
                  <c:v>4057600000</c:v>
                </c:pt>
                <c:pt idx="7">
                  <c:v>3449825000</c:v>
                </c:pt>
                <c:pt idx="8">
                  <c:v>5090050000</c:v>
                </c:pt>
                <c:pt idx="9">
                  <c:v>5827250000</c:v>
                </c:pt>
                <c:pt idx="10">
                  <c:v>6207750000</c:v>
                </c:pt>
                <c:pt idx="11">
                  <c:v>7212900000</c:v>
                </c:pt>
                <c:pt idx="12">
                  <c:v>3155000000</c:v>
                </c:pt>
                <c:pt idx="13">
                  <c:v>4494750000</c:v>
                </c:pt>
                <c:pt idx="14">
                  <c:v>8286000000</c:v>
                </c:pt>
                <c:pt idx="15">
                  <c:v>5594250000</c:v>
                </c:pt>
                <c:pt idx="16">
                  <c:v>8019750000</c:v>
                </c:pt>
                <c:pt idx="17">
                  <c:v>8767750000</c:v>
                </c:pt>
                <c:pt idx="18">
                  <c:v>9737500000</c:v>
                </c:pt>
                <c:pt idx="19">
                  <c:v>9870250000</c:v>
                </c:pt>
                <c:pt idx="20">
                  <c:v>6766250000</c:v>
                </c:pt>
                <c:pt idx="21">
                  <c:v>10723225000</c:v>
                </c:pt>
                <c:pt idx="22">
                  <c:v>13987250000</c:v>
                </c:pt>
                <c:pt idx="23">
                  <c:v>9765175000</c:v>
                </c:pt>
                <c:pt idx="24">
                  <c:v>12064000000</c:v>
                </c:pt>
                <c:pt idx="25">
                  <c:v>10850000000</c:v>
                </c:pt>
                <c:pt idx="26">
                  <c:v>11217250000</c:v>
                </c:pt>
                <c:pt idx="27">
                  <c:v>16687000000</c:v>
                </c:pt>
                <c:pt idx="28">
                  <c:v>15504500000</c:v>
                </c:pt>
                <c:pt idx="29">
                  <c:v>24304750000</c:v>
                </c:pt>
                <c:pt idx="30">
                  <c:v>25459750000</c:v>
                </c:pt>
                <c:pt idx="31">
                  <c:v>52206250000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0-4B42-B50D-900D18FA7527}"/>
            </c:ext>
          </c:extLst>
        </c:ser>
        <c:ser>
          <c:idx val="1"/>
          <c:order val="1"/>
          <c:tx>
            <c:strRef>
              <c:f>PandemicProfitSample!$J$1</c:f>
              <c:strCache>
                <c:ptCount val="1"/>
                <c:pt idx="0">
                  <c:v>FY 2020 (TTM)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PandemicProfitSample!$A$2:$A$33</c:f>
              <c:strCache>
                <c:ptCount val="32"/>
                <c:pt idx="0">
                  <c:v>BUA Cement</c:v>
                </c:pt>
                <c:pt idx="1">
                  <c:v>AngloGold Ashanti</c:v>
                </c:pt>
                <c:pt idx="2">
                  <c:v>MTN Group</c:v>
                </c:pt>
                <c:pt idx="3">
                  <c:v>Telecom Italia</c:v>
                </c:pt>
                <c:pt idx="4">
                  <c:v>Power Grid Corporation of India</c:v>
                </c:pt>
                <c:pt idx="5">
                  <c:v>ASML</c:v>
                </c:pt>
                <c:pt idx="6">
                  <c:v>Tata Consultancy</c:v>
                </c:pt>
                <c:pt idx="7">
                  <c:v>Deutsche Telekom</c:v>
                </c:pt>
                <c:pt idx="8">
                  <c:v>Reliance Industries</c:v>
                </c:pt>
                <c:pt idx="9">
                  <c:v>Novo Nordisk</c:v>
                </c:pt>
                <c:pt idx="10">
                  <c:v>AbbVie</c:v>
                </c:pt>
                <c:pt idx="11">
                  <c:v>Crédit Agricole Group</c:v>
                </c:pt>
                <c:pt idx="12">
                  <c:v>BHP</c:v>
                </c:pt>
                <c:pt idx="13">
                  <c:v>CVS Health</c:v>
                </c:pt>
                <c:pt idx="14">
                  <c:v>Oracle</c:v>
                </c:pt>
                <c:pt idx="15">
                  <c:v>Merck</c:v>
                </c:pt>
                <c:pt idx="16">
                  <c:v>Cisco Systems</c:v>
                </c:pt>
                <c:pt idx="17">
                  <c:v>Visa</c:v>
                </c:pt>
                <c:pt idx="18">
                  <c:v>Home Depot</c:v>
                </c:pt>
                <c:pt idx="19">
                  <c:v>Procter &amp; Gamble</c:v>
                </c:pt>
                <c:pt idx="20">
                  <c:v>Amazon</c:v>
                </c:pt>
                <c:pt idx="21">
                  <c:v>Roche</c:v>
                </c:pt>
                <c:pt idx="22">
                  <c:v>Pfizer</c:v>
                </c:pt>
                <c:pt idx="23">
                  <c:v>Nestlé</c:v>
                </c:pt>
                <c:pt idx="24">
                  <c:v>Johnson &amp; Johnson</c:v>
                </c:pt>
                <c:pt idx="25">
                  <c:v>UnitedHealth</c:v>
                </c:pt>
                <c:pt idx="26">
                  <c:v>Walmart</c:v>
                </c:pt>
                <c:pt idx="27">
                  <c:v>Facebook</c:v>
                </c:pt>
                <c:pt idx="28">
                  <c:v>Intel</c:v>
                </c:pt>
                <c:pt idx="29">
                  <c:v>Google</c:v>
                </c:pt>
                <c:pt idx="30">
                  <c:v>Microsoft</c:v>
                </c:pt>
                <c:pt idx="31">
                  <c:v>Apple</c:v>
                </c:pt>
              </c:strCache>
            </c:strRef>
          </c:cat>
          <c:val>
            <c:numRef>
              <c:f>PandemicProfitSample!$J$2:$J$33</c:f>
              <c:numCache>
                <c:formatCode>#.00,,,\b;\-#.00,,,\b;0</c:formatCode>
                <c:ptCount val="32"/>
                <c:pt idx="0">
                  <c:v>167300000</c:v>
                </c:pt>
                <c:pt idx="1">
                  <c:v>295000000</c:v>
                </c:pt>
                <c:pt idx="2">
                  <c:v>951600000</c:v>
                </c:pt>
                <c:pt idx="3">
                  <c:v>1173800000</c:v>
                </c:pt>
                <c:pt idx="4">
                  <c:v>1403900000</c:v>
                </c:pt>
                <c:pt idx="5">
                  <c:v>3254000000</c:v>
                </c:pt>
                <c:pt idx="6">
                  <c:v>4132600000</c:v>
                </c:pt>
                <c:pt idx="7">
                  <c:v>4267000000</c:v>
                </c:pt>
                <c:pt idx="8">
                  <c:v>5624000000</c:v>
                </c:pt>
                <c:pt idx="9">
                  <c:v>6253700000</c:v>
                </c:pt>
                <c:pt idx="10">
                  <c:v>6957000000</c:v>
                </c:pt>
                <c:pt idx="11">
                  <c:v>7231600000</c:v>
                </c:pt>
                <c:pt idx="12">
                  <c:v>7956000000</c:v>
                </c:pt>
                <c:pt idx="13">
                  <c:v>8259000000</c:v>
                </c:pt>
                <c:pt idx="14">
                  <c:v>10135000000</c:v>
                </c:pt>
                <c:pt idx="15">
                  <c:v>10479000000</c:v>
                </c:pt>
                <c:pt idx="16">
                  <c:v>11214000000</c:v>
                </c:pt>
                <c:pt idx="17">
                  <c:v>11754000000</c:v>
                </c:pt>
                <c:pt idx="18">
                  <c:v>11827000000</c:v>
                </c:pt>
                <c:pt idx="19">
                  <c:v>13027000000</c:v>
                </c:pt>
                <c:pt idx="20">
                  <c:v>13180000000</c:v>
                </c:pt>
                <c:pt idx="21">
                  <c:v>13681000000</c:v>
                </c:pt>
                <c:pt idx="22">
                  <c:v>14172000000</c:v>
                </c:pt>
                <c:pt idx="23">
                  <c:v>14275800000</c:v>
                </c:pt>
                <c:pt idx="24">
                  <c:v>15185000000</c:v>
                </c:pt>
                <c:pt idx="25">
                  <c:v>17098000000</c:v>
                </c:pt>
                <c:pt idx="26">
                  <c:v>17895000000</c:v>
                </c:pt>
                <c:pt idx="27">
                  <c:v>23521000000</c:v>
                </c:pt>
                <c:pt idx="28">
                  <c:v>23661000000</c:v>
                </c:pt>
                <c:pt idx="29">
                  <c:v>31534000000</c:v>
                </c:pt>
                <c:pt idx="30">
                  <c:v>44281000000</c:v>
                </c:pt>
                <c:pt idx="31">
                  <c:v>58424000000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0-4B42-B50D-900D18FA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5917567"/>
        <c:axId val="1326214319"/>
      </c:barChart>
      <c:scatterChart>
        <c:scatterStyle val="lineMarker"/>
        <c:varyColors val="0"/>
        <c:ser>
          <c:idx val="2"/>
          <c:order val="2"/>
          <c:tx>
            <c:strRef>
              <c:f>PandemicProfitSample!$U$1</c:f>
              <c:strCache>
                <c:ptCount val="1"/>
                <c:pt idx="0">
                  <c:v>Excess Pandemic Profits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PandemicProfitSample!$U$2:$U$33</c:f>
              <c:numCache>
                <c:formatCode>#.00,,,\b;\-#.00,,,\b;0</c:formatCode>
                <c:ptCount val="32"/>
                <c:pt idx="0">
                  <c:v>49933333.333333328</c:v>
                </c:pt>
                <c:pt idx="1">
                  <c:v>296750000</c:v>
                </c:pt>
                <c:pt idx="2">
                  <c:v>598400000</c:v>
                </c:pt>
                <c:pt idx="3">
                  <c:v>507050000</c:v>
                </c:pt>
                <c:pt idx="4">
                  <c:v>214400000</c:v>
                </c:pt>
                <c:pt idx="5">
                  <c:v>753250000</c:v>
                </c:pt>
                <c:pt idx="6">
                  <c:v>75000000</c:v>
                </c:pt>
                <c:pt idx="7">
                  <c:v>817175000</c:v>
                </c:pt>
                <c:pt idx="8">
                  <c:v>533950000</c:v>
                </c:pt>
                <c:pt idx="9">
                  <c:v>426450000</c:v>
                </c:pt>
                <c:pt idx="10">
                  <c:v>749250000</c:v>
                </c:pt>
                <c:pt idx="11">
                  <c:v>18700000</c:v>
                </c:pt>
                <c:pt idx="12">
                  <c:v>4801000000</c:v>
                </c:pt>
                <c:pt idx="13">
                  <c:v>3764250000</c:v>
                </c:pt>
                <c:pt idx="14">
                  <c:v>1849000000</c:v>
                </c:pt>
                <c:pt idx="15">
                  <c:v>4884750000</c:v>
                </c:pt>
                <c:pt idx="16">
                  <c:v>3194250000</c:v>
                </c:pt>
                <c:pt idx="17">
                  <c:v>2986250000</c:v>
                </c:pt>
                <c:pt idx="18">
                  <c:v>2089500000</c:v>
                </c:pt>
                <c:pt idx="19">
                  <c:v>3156750000</c:v>
                </c:pt>
                <c:pt idx="20">
                  <c:v>6413750000</c:v>
                </c:pt>
                <c:pt idx="21">
                  <c:v>2957775000</c:v>
                </c:pt>
                <c:pt idx="22">
                  <c:v>184750000</c:v>
                </c:pt>
                <c:pt idx="23">
                  <c:v>4510625000</c:v>
                </c:pt>
                <c:pt idx="24">
                  <c:v>3121000000</c:v>
                </c:pt>
                <c:pt idx="25">
                  <c:v>6248000000</c:v>
                </c:pt>
                <c:pt idx="26">
                  <c:v>6677750000</c:v>
                </c:pt>
                <c:pt idx="27">
                  <c:v>6834000000</c:v>
                </c:pt>
                <c:pt idx="28">
                  <c:v>8156500000</c:v>
                </c:pt>
                <c:pt idx="29">
                  <c:v>7229250000</c:v>
                </c:pt>
                <c:pt idx="30">
                  <c:v>18821250000</c:v>
                </c:pt>
                <c:pt idx="31">
                  <c:v>6217750000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00-4B42-B50D-900D18FA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917567"/>
        <c:axId val="1326214319"/>
      </c:scatterChart>
      <c:catAx>
        <c:axId val="685917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214319"/>
        <c:crosses val="autoZero"/>
        <c:auto val="1"/>
        <c:lblAlgn val="ctr"/>
        <c:lblOffset val="100"/>
        <c:noMultiLvlLbl val="0"/>
      </c:catAx>
      <c:valAx>
        <c:axId val="1326214319"/>
        <c:scaling>
          <c:orientation val="minMax"/>
          <c:max val="600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,\b;\-#.00,,,\b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1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Public Money Available from Pandemic Profits Tax:</a:t>
            </a:r>
          </a:p>
          <a:p>
            <a:pPr>
              <a:defRPr/>
            </a:pPr>
            <a:r>
              <a:rPr lang="en-US" sz="1600" b="1" i="0" u="none" strike="noStrike" baseline="0">
                <a:effectLst/>
              </a:rPr>
              <a:t>Top 32 Global Corporations</a:t>
            </a:r>
            <a:r>
              <a:rPr lang="en-US" sz="1600" b="0" i="0" u="none" strike="noStrike" baseline="0">
                <a:effectLst/>
              </a:rPr>
              <a:t> </a:t>
            </a:r>
            <a:r>
              <a:rPr lang="en-US" sz="1400" b="0" i="0" u="none" strike="noStrike" baseline="0">
                <a:effectLst/>
              </a:rPr>
              <a:t>(FY2020 in USD)</a:t>
            </a:r>
            <a:r>
              <a:rPr lang="en-US" sz="1400" b="1" i="0" u="none" strike="noStrike" baseline="0">
                <a:effectLst/>
              </a:rPr>
              <a:t> </a:t>
            </a:r>
            <a:endParaRPr lang="en-US"/>
          </a:p>
        </c:rich>
      </c:tx>
      <c:layout>
        <c:manualLayout>
          <c:xMode val="edge"/>
          <c:yMode val="edge"/>
          <c:x val="0.20043937406764262"/>
          <c:y val="2.6046506858358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PandemicProfitSample!$Z$1</c:f>
              <c:strCache>
                <c:ptCount val="1"/>
                <c:pt idx="0">
                  <c:v>Excess profit tax liability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PandemicProfitSample!$A$2:$A$33</c:f>
              <c:strCache>
                <c:ptCount val="32"/>
                <c:pt idx="0">
                  <c:v>BUA Cement</c:v>
                </c:pt>
                <c:pt idx="1">
                  <c:v>AngloGold Ashanti</c:v>
                </c:pt>
                <c:pt idx="2">
                  <c:v>MTN Group</c:v>
                </c:pt>
                <c:pt idx="3">
                  <c:v>Telecom Italia</c:v>
                </c:pt>
                <c:pt idx="4">
                  <c:v>Power Grid Corporation of India</c:v>
                </c:pt>
                <c:pt idx="5">
                  <c:v>ASML</c:v>
                </c:pt>
                <c:pt idx="6">
                  <c:v>Tata Consultancy</c:v>
                </c:pt>
                <c:pt idx="7">
                  <c:v>Deutsche Telekom</c:v>
                </c:pt>
                <c:pt idx="8">
                  <c:v>Reliance Industries</c:v>
                </c:pt>
                <c:pt idx="9">
                  <c:v>Novo Nordisk</c:v>
                </c:pt>
                <c:pt idx="10">
                  <c:v>AbbVie</c:v>
                </c:pt>
                <c:pt idx="11">
                  <c:v>Crédit Agricole Group</c:v>
                </c:pt>
                <c:pt idx="12">
                  <c:v>BHP</c:v>
                </c:pt>
                <c:pt idx="13">
                  <c:v>CVS Health</c:v>
                </c:pt>
                <c:pt idx="14">
                  <c:v>Oracle</c:v>
                </c:pt>
                <c:pt idx="15">
                  <c:v>Merck</c:v>
                </c:pt>
                <c:pt idx="16">
                  <c:v>Cisco Systems</c:v>
                </c:pt>
                <c:pt idx="17">
                  <c:v>Visa</c:v>
                </c:pt>
                <c:pt idx="18">
                  <c:v>Home Depot</c:v>
                </c:pt>
                <c:pt idx="19">
                  <c:v>Procter &amp; Gamble</c:v>
                </c:pt>
                <c:pt idx="20">
                  <c:v>Amazon</c:v>
                </c:pt>
                <c:pt idx="21">
                  <c:v>Roche</c:v>
                </c:pt>
                <c:pt idx="22">
                  <c:v>Pfizer</c:v>
                </c:pt>
                <c:pt idx="23">
                  <c:v>Nestlé</c:v>
                </c:pt>
                <c:pt idx="24">
                  <c:v>Johnson &amp; Johnson</c:v>
                </c:pt>
                <c:pt idx="25">
                  <c:v>UnitedHealth</c:v>
                </c:pt>
                <c:pt idx="26">
                  <c:v>Walmart</c:v>
                </c:pt>
                <c:pt idx="27">
                  <c:v>Facebook</c:v>
                </c:pt>
                <c:pt idx="28">
                  <c:v>Intel</c:v>
                </c:pt>
                <c:pt idx="29">
                  <c:v>Google</c:v>
                </c:pt>
                <c:pt idx="30">
                  <c:v>Microsoft</c:v>
                </c:pt>
                <c:pt idx="31">
                  <c:v>Apple</c:v>
                </c:pt>
              </c:strCache>
            </c:strRef>
          </c:cat>
          <c:val>
            <c:numRef>
              <c:f>PandemicProfitSample!$Z$2:$Z$33</c:f>
              <c:numCache>
                <c:formatCode>#.00,,,\b;\-#.00,,,\b;0</c:formatCode>
                <c:ptCount val="32"/>
                <c:pt idx="0">
                  <c:v>53011583.333333336</c:v>
                </c:pt>
                <c:pt idx="1">
                  <c:v>281829375</c:v>
                </c:pt>
                <c:pt idx="2">
                  <c:v>585257000</c:v>
                </c:pt>
                <c:pt idx="3">
                  <c:v>513368125</c:v>
                </c:pt>
                <c:pt idx="4">
                  <c:v>260179046</c:v>
                </c:pt>
                <c:pt idx="5">
                  <c:v>653797125</c:v>
                </c:pt>
                <c:pt idx="6">
                  <c:v>263986000</c:v>
                </c:pt>
                <c:pt idx="7">
                  <c:v>940182937.5</c:v>
                </c:pt>
                <c:pt idx="8">
                  <c:v>749029875</c:v>
                </c:pt>
                <c:pt idx="9">
                  <c:v>514417875</c:v>
                </c:pt>
                <c:pt idx="10">
                  <c:v>582423625</c:v>
                </c:pt>
                <c:pt idx="11">
                  <c:v>360377750</c:v>
                </c:pt>
                <c:pt idx="12">
                  <c:v>4710812500</c:v>
                </c:pt>
                <c:pt idx="13">
                  <c:v>3789538125</c:v>
                </c:pt>
                <c:pt idx="14">
                  <c:v>1689043000</c:v>
                </c:pt>
                <c:pt idx="15">
                  <c:v>4229079375</c:v>
                </c:pt>
                <c:pt idx="16">
                  <c:v>2933103625</c:v>
                </c:pt>
                <c:pt idx="17">
                  <c:v>3253405625</c:v>
                </c:pt>
                <c:pt idx="18">
                  <c:v>2447556250</c:v>
                </c:pt>
                <c:pt idx="19">
                  <c:v>3467749375</c:v>
                </c:pt>
                <c:pt idx="20">
                  <c:v>3517415375</c:v>
                </c:pt>
                <c:pt idx="21">
                  <c:v>2340511437.5</c:v>
                </c:pt>
                <c:pt idx="22">
                  <c:v>225142875</c:v>
                </c:pt>
                <c:pt idx="23">
                  <c:v>4620058762.5</c:v>
                </c:pt>
                <c:pt idx="24">
                  <c:v>2693022000</c:v>
                </c:pt>
                <c:pt idx="25">
                  <c:v>6450975000</c:v>
                </c:pt>
                <c:pt idx="26">
                  <c:v>6876681875</c:v>
                </c:pt>
                <c:pt idx="27">
                  <c:v>6076380500</c:v>
                </c:pt>
                <c:pt idx="28">
                  <c:v>7480342750</c:v>
                </c:pt>
                <c:pt idx="29">
                  <c:v>5934467125</c:v>
                </c:pt>
                <c:pt idx="30">
                  <c:v>17625081625</c:v>
                </c:pt>
                <c:pt idx="31">
                  <c:v>7027475375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F-4DA6-BB31-3B604D115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930767"/>
        <c:axId val="1326229711"/>
      </c:barChart>
      <c:catAx>
        <c:axId val="1441930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6229711"/>
        <c:crosses val="autoZero"/>
        <c:auto val="1"/>
        <c:lblAlgn val="ctr"/>
        <c:lblOffset val="100"/>
        <c:noMultiLvlLbl val="0"/>
      </c:catAx>
      <c:valAx>
        <c:axId val="1326229711"/>
        <c:scaling>
          <c:orientation val="minMax"/>
          <c:max val="18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,\b;\-#.00,,,\b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930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Shareholder Bonanza amongst 25 most profitable global companies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(USD)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91426071741034"/>
          <c:y val="0.20370369236252778"/>
          <c:w val="0.7749744094488189"/>
          <c:h val="0.61241329359113095"/>
        </c:manualLayout>
      </c:layout>
      <c:areaChart>
        <c:grouping val="stacked"/>
        <c:varyColors val="0"/>
        <c:ser>
          <c:idx val="0"/>
          <c:order val="0"/>
          <c:tx>
            <c:strRef>
              <c:f>'DATA-PayoutsFullSample '!$K$1</c:f>
              <c:strCache>
                <c:ptCount val="1"/>
                <c:pt idx="0">
                  <c:v>Total Dividends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'DATA-PayoutsFullSample '!$Q$2:$U$2</c:f>
              <c:strCache>
                <c:ptCount val="5"/>
                <c:pt idx="0">
                  <c:v>FY2016</c:v>
                </c:pt>
                <c:pt idx="1">
                  <c:v>FY2017</c:v>
                </c:pt>
                <c:pt idx="2">
                  <c:v>FY2018</c:v>
                </c:pt>
                <c:pt idx="3">
                  <c:v>FY2019</c:v>
                </c:pt>
                <c:pt idx="4">
                  <c:v>FY2020 (TTM)</c:v>
                </c:pt>
              </c:strCache>
            </c:strRef>
          </c:cat>
          <c:val>
            <c:numRef>
              <c:f>'DATA-PayoutsFullSample '!$K$69:$O$69</c:f>
              <c:numCache>
                <c:formatCode>#.00,,,\b;\-#.00,,,\b;0</c:formatCode>
                <c:ptCount val="5"/>
                <c:pt idx="0">
                  <c:v>145173900000</c:v>
                </c:pt>
                <c:pt idx="1">
                  <c:v>156143700000</c:v>
                </c:pt>
                <c:pt idx="2">
                  <c:v>177296800000</c:v>
                </c:pt>
                <c:pt idx="3">
                  <c:v>184858100000</c:v>
                </c:pt>
                <c:pt idx="4">
                  <c:v>184256400000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E-46A0-9680-E0CF45D7904D}"/>
            </c:ext>
          </c:extLst>
        </c:ser>
        <c:ser>
          <c:idx val="1"/>
          <c:order val="1"/>
          <c:tx>
            <c:strRef>
              <c:f>'DATA-PayoutsFullSample '!$Q$1</c:f>
              <c:strCache>
                <c:ptCount val="1"/>
                <c:pt idx="0">
                  <c:v>Repurchase of Common Stock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'DATA-PayoutsFullSample '!$Q$2:$U$2</c:f>
              <c:strCache>
                <c:ptCount val="5"/>
                <c:pt idx="0">
                  <c:v>FY2016</c:v>
                </c:pt>
                <c:pt idx="1">
                  <c:v>FY2017</c:v>
                </c:pt>
                <c:pt idx="2">
                  <c:v>FY2018</c:v>
                </c:pt>
                <c:pt idx="3">
                  <c:v>FY2019</c:v>
                </c:pt>
                <c:pt idx="4">
                  <c:v>FY2020 (TTM)</c:v>
                </c:pt>
              </c:strCache>
            </c:strRef>
          </c:cat>
          <c:val>
            <c:numRef>
              <c:f>'DATA-PayoutsFullSample '!$Q$69:$U$69</c:f>
              <c:numCache>
                <c:formatCode>#.00,,,\b;\-#.00,,,\b;0</c:formatCode>
                <c:ptCount val="5"/>
                <c:pt idx="0">
                  <c:v>99301500000</c:v>
                </c:pt>
                <c:pt idx="1">
                  <c:v>114105200000</c:v>
                </c:pt>
                <c:pt idx="2">
                  <c:v>181319800000</c:v>
                </c:pt>
                <c:pt idx="3">
                  <c:v>201805000000</c:v>
                </c:pt>
                <c:pt idx="4">
                  <c:v>194166600000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E-46A0-9680-E0CF45D79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567568"/>
        <c:axId val="613008480"/>
      </c:areaChart>
      <c:lineChart>
        <c:grouping val="standard"/>
        <c:varyColors val="0"/>
        <c:ser>
          <c:idx val="2"/>
          <c:order val="2"/>
          <c:tx>
            <c:strRef>
              <c:f>'DATA-PayoutsFullSample '!$W$1</c:f>
              <c:strCache>
                <c:ptCount val="1"/>
                <c:pt idx="0">
                  <c:v>Shareholder Payouts as % Net Earnings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'DATA-PayoutsFullSample '!$W$69:$AA$69</c:f>
              <c:numCache>
                <c:formatCode>0.0%</c:formatCode>
                <c:ptCount val="5"/>
                <c:pt idx="0">
                  <c:v>0.97611803712256962</c:v>
                </c:pt>
                <c:pt idx="1">
                  <c:v>0.85240913407811536</c:v>
                </c:pt>
                <c:pt idx="2">
                  <c:v>0.89117661676706228</c:v>
                </c:pt>
                <c:pt idx="3">
                  <c:v>1.0304967670974983</c:v>
                </c:pt>
                <c:pt idx="4">
                  <c:v>1.2421414872033394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DE-46A0-9680-E0CF45D79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0544"/>
        <c:axId val="552373232"/>
      </c:lineChart>
      <c:catAx>
        <c:axId val="67556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008480"/>
        <c:crosses val="autoZero"/>
        <c:auto val="1"/>
        <c:lblAlgn val="ctr"/>
        <c:lblOffset val="100"/>
        <c:noMultiLvlLbl val="0"/>
      </c:catAx>
      <c:valAx>
        <c:axId val="61300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,\b;\-#.00,,,\b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567568"/>
        <c:crosses val="autoZero"/>
        <c:crossBetween val="between"/>
      </c:valAx>
      <c:valAx>
        <c:axId val="552373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0544"/>
        <c:crosses val="max"/>
        <c:crossBetween val="between"/>
      </c:valAx>
      <c:catAx>
        <c:axId val="14720544"/>
        <c:scaling>
          <c:orientation val="minMax"/>
        </c:scaling>
        <c:delete val="1"/>
        <c:axPos val="b"/>
        <c:majorTickMark val="out"/>
        <c:minorTickMark val="none"/>
        <c:tickLblPos val="nextTo"/>
        <c:crossAx val="552373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034851302902162E-2"/>
          <c:y val="0.89259704513826588"/>
          <c:w val="0.89999990386377882"/>
          <c:h val="4.3750310039397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Profits vs Shareholder Payouts</a:t>
            </a:r>
            <a:endParaRPr lang="en-US" sz="1200"/>
          </a:p>
          <a:p>
            <a:pPr>
              <a:defRPr/>
            </a:pPr>
            <a:r>
              <a:rPr lang="en-US" sz="1200"/>
              <a:t>January-July</a:t>
            </a:r>
            <a:r>
              <a:rPr lang="en-US" sz="1200" baseline="0"/>
              <a:t> </a:t>
            </a:r>
            <a:r>
              <a:rPr lang="en-US" sz="12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OilLossShareholderGain!$B$2</c:f>
              <c:strCache>
                <c:ptCount val="1"/>
                <c:pt idx="0">
                  <c:v>Net Earnings (Global)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OilLossShareholderGain!$A$3:$A$8</c:f>
              <c:strCache>
                <c:ptCount val="6"/>
                <c:pt idx="0">
                  <c:v>TOTAL</c:v>
                </c:pt>
                <c:pt idx="1">
                  <c:v>Shell</c:v>
                </c:pt>
                <c:pt idx="2">
                  <c:v>Exxon Mobil</c:v>
                </c:pt>
                <c:pt idx="3">
                  <c:v>BP</c:v>
                </c:pt>
                <c:pt idx="4">
                  <c:v>Chevron</c:v>
                </c:pt>
                <c:pt idx="5">
                  <c:v>Petrobras</c:v>
                </c:pt>
              </c:strCache>
            </c:strRef>
          </c:cat>
          <c:val>
            <c:numRef>
              <c:f>OilLossShareholderGain!$B$3:$B$8</c:f>
              <c:numCache>
                <c:formatCode>#.00,,,\b;\-#.00,,,\b;0</c:formatCode>
                <c:ptCount val="6"/>
                <c:pt idx="0">
                  <c:v>-8335000000</c:v>
                </c:pt>
                <c:pt idx="1">
                  <c:v>-18155000000</c:v>
                </c:pt>
                <c:pt idx="2">
                  <c:v>-1690000000</c:v>
                </c:pt>
                <c:pt idx="3">
                  <c:v>-21213000000</c:v>
                </c:pt>
                <c:pt idx="4">
                  <c:v>-4671000000</c:v>
                </c:pt>
                <c:pt idx="5">
                  <c:v>-9350317560.2280006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3-4904-8F24-B1EFA8343EB6}"/>
            </c:ext>
          </c:extLst>
        </c:ser>
        <c:ser>
          <c:idx val="1"/>
          <c:order val="1"/>
          <c:tx>
            <c:strRef>
              <c:f>OilLossShareholderGain!$C$2</c:f>
              <c:strCache>
                <c:ptCount val="1"/>
                <c:pt idx="0">
                  <c:v>Total Dividends Paid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OilLossShareholderGain!$A$3:$A$8</c:f>
              <c:strCache>
                <c:ptCount val="6"/>
                <c:pt idx="0">
                  <c:v>TOTAL</c:v>
                </c:pt>
                <c:pt idx="1">
                  <c:v>Shell</c:v>
                </c:pt>
                <c:pt idx="2">
                  <c:v>Exxon Mobil</c:v>
                </c:pt>
                <c:pt idx="3">
                  <c:v>BP</c:v>
                </c:pt>
                <c:pt idx="4">
                  <c:v>Chevron</c:v>
                </c:pt>
                <c:pt idx="5">
                  <c:v>Petrobras</c:v>
                </c:pt>
              </c:strCache>
            </c:strRef>
          </c:cat>
          <c:val>
            <c:numRef>
              <c:f>OilLossShareholderGain!$C$3:$C$8</c:f>
              <c:numCache>
                <c:formatCode>#.00,,,\b;\-#.00,,,\b;0</c:formatCode>
                <c:ptCount val="6"/>
                <c:pt idx="0">
                  <c:v>4041000000</c:v>
                </c:pt>
                <c:pt idx="1">
                  <c:v>4880000000</c:v>
                </c:pt>
                <c:pt idx="2">
                  <c:v>7434000000</c:v>
                </c:pt>
                <c:pt idx="3">
                  <c:v>4221000000</c:v>
                </c:pt>
                <c:pt idx="4">
                  <c:v>4800000000</c:v>
                </c:pt>
                <c:pt idx="5">
                  <c:v>807723193.09800005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03-4904-8F24-B1EFA8343EB6}"/>
            </c:ext>
          </c:extLst>
        </c:ser>
        <c:ser>
          <c:idx val="2"/>
          <c:order val="2"/>
          <c:tx>
            <c:strRef>
              <c:f>OilLossShareholderGain!$D$2</c:f>
              <c:strCache>
                <c:ptCount val="1"/>
                <c:pt idx="0">
                  <c:v>Repurchase of Common Stock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OilLossShareholderGain!$A$3:$A$8</c:f>
              <c:strCache>
                <c:ptCount val="6"/>
                <c:pt idx="0">
                  <c:v>TOTAL</c:v>
                </c:pt>
                <c:pt idx="1">
                  <c:v>Shell</c:v>
                </c:pt>
                <c:pt idx="2">
                  <c:v>Exxon Mobil</c:v>
                </c:pt>
                <c:pt idx="3">
                  <c:v>BP</c:v>
                </c:pt>
                <c:pt idx="4">
                  <c:v>Chevron</c:v>
                </c:pt>
                <c:pt idx="5">
                  <c:v>Petrobras</c:v>
                </c:pt>
              </c:strCache>
            </c:strRef>
          </c:cat>
          <c:val>
            <c:numRef>
              <c:f>OilLossShareholderGain!$D$3:$D$8</c:f>
              <c:numCache>
                <c:formatCode>#.00,,,\b;\-#.00,,,\b;0</c:formatCode>
                <c:ptCount val="6"/>
                <c:pt idx="0">
                  <c:v>611000000</c:v>
                </c:pt>
                <c:pt idx="1">
                  <c:v>1901000000</c:v>
                </c:pt>
                <c:pt idx="2">
                  <c:v>305000000</c:v>
                </c:pt>
                <c:pt idx="3">
                  <c:v>824000000</c:v>
                </c:pt>
                <c:pt idx="4">
                  <c:v>1600000000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03-4904-8F24-B1EFA8343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0635056"/>
        <c:axId val="1526539760"/>
      </c:barChart>
      <c:catAx>
        <c:axId val="14406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539760"/>
        <c:crosses val="autoZero"/>
        <c:auto val="1"/>
        <c:lblAlgn val="ctr"/>
        <c:lblOffset val="100"/>
        <c:noMultiLvlLbl val="0"/>
      </c:catAx>
      <c:valAx>
        <c:axId val="152653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,\b;\-#.00,,,\b;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63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2487083</xdr:colOff>
      <xdr:row>10</xdr:row>
      <xdr:rowOff>0</xdr:rowOff>
    </xdr:from>
    <xdr:ext cx="301625" cy="310442"/>
    <xdr:sp macro="" textlink="">
      <xdr:nvSpPr>
        <xdr:cNvPr id="2" name="AutoShape 72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C3E1B685-F6D3-43B9-B181-1254D153FF9C}"/>
            </a:ext>
          </a:extLst>
        </xdr:cNvPr>
        <xdr:cNvSpPr>
          <a:spLocks noChangeAspect="1" noChangeArrowheads="1"/>
        </xdr:cNvSpPr>
      </xdr:nvSpPr>
      <xdr:spPr bwMode="auto">
        <a:xfrm>
          <a:off x="2483908" y="1809750"/>
          <a:ext cx="301625" cy="310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2529416</xdr:colOff>
      <xdr:row>10</xdr:row>
      <xdr:rowOff>0</xdr:rowOff>
    </xdr:from>
    <xdr:ext cx="307975" cy="304094"/>
    <xdr:sp macro="" textlink="">
      <xdr:nvSpPr>
        <xdr:cNvPr id="3" name="AutoShape 207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DC35D5A2-B2C7-4108-B71C-06A04598EFB8}"/>
            </a:ext>
          </a:extLst>
        </xdr:cNvPr>
        <xdr:cNvSpPr>
          <a:spLocks noChangeAspect="1" noChangeArrowheads="1"/>
        </xdr:cNvSpPr>
      </xdr:nvSpPr>
      <xdr:spPr bwMode="auto">
        <a:xfrm>
          <a:off x="2526241" y="1809750"/>
          <a:ext cx="307975" cy="30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366940</xdr:colOff>
      <xdr:row>28</xdr:row>
      <xdr:rowOff>100238</xdr:rowOff>
    </xdr:from>
    <xdr:to>
      <xdr:col>7</xdr:col>
      <xdr:colOff>363312</xdr:colOff>
      <xdr:row>47</xdr:row>
      <xdr:rowOff>74385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37A49EF-4DC2-49CA-816B-33602620E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625930</xdr:colOff>
      <xdr:row>0</xdr:row>
      <xdr:rowOff>72571</xdr:rowOff>
    </xdr:from>
    <xdr:to>
      <xdr:col>20</xdr:col>
      <xdr:colOff>644072</xdr:colOff>
      <xdr:row>28</xdr:row>
      <xdr:rowOff>117927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09004CF-5ED8-4D8F-A88B-44C6A1148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431800</xdr:colOff>
      <xdr:row>29</xdr:row>
      <xdr:rowOff>158749</xdr:rowOff>
    </xdr:from>
    <xdr:to>
      <xdr:col>19</xdr:col>
      <xdr:colOff>509813</xdr:colOff>
      <xdr:row>51</xdr:row>
      <xdr:rowOff>77560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9664FDB-8E68-4EB6-BEE2-F57512CD0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208642</xdr:colOff>
      <xdr:row>0</xdr:row>
      <xdr:rowOff>154214</xdr:rowOff>
    </xdr:from>
    <xdr:to>
      <xdr:col>9</xdr:col>
      <xdr:colOff>90714</xdr:colOff>
      <xdr:row>27</xdr:row>
      <xdr:rowOff>154213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3D91008-893B-40E2-9BC9-1E102E0F0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304800" cy="304096"/>
    <xdr:sp macro="" textlink="">
      <xdr:nvSpPr>
        <xdr:cNvPr id="135" name="AutoShape 77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D630C2DE-2C8B-4707-8526-E9B25BA70EC1}"/>
            </a:ext>
          </a:extLst>
        </xdr:cNvPr>
        <xdr:cNvSpPr>
          <a:spLocks noChangeAspect="1" noChangeArrowheads="1"/>
        </xdr:cNvSpPr>
      </xdr:nvSpPr>
      <xdr:spPr bwMode="auto">
        <a:xfrm>
          <a:off x="5992586" y="925286"/>
          <a:ext cx="304800" cy="304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120648</xdr:rowOff>
    </xdr:to>
    <xdr:sp macro="" textlink="">
      <xdr:nvSpPr>
        <xdr:cNvPr id="137" name="AutoShape 4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4E2A1227-A2CC-428A-B6B4-04AC38C7D8C8}"/>
            </a:ext>
          </a:extLst>
        </xdr:cNvPr>
        <xdr:cNvSpPr>
          <a:spLocks noChangeAspect="1" noChangeArrowheads="1"/>
        </xdr:cNvSpPr>
      </xdr:nvSpPr>
      <xdr:spPr bwMode="auto">
        <a:xfrm>
          <a:off x="5992586" y="925286"/>
          <a:ext cx="304800" cy="305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123823</xdr:rowOff>
    </xdr:to>
    <xdr:sp macro="" textlink="">
      <xdr:nvSpPr>
        <xdr:cNvPr id="139" name="AutoShape 3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EA4B06C3-AD77-4EDF-B2FC-62937AC7008F}"/>
            </a:ext>
          </a:extLst>
        </xdr:cNvPr>
        <xdr:cNvSpPr>
          <a:spLocks noChangeAspect="1" noChangeArrowheads="1"/>
        </xdr:cNvSpPr>
      </xdr:nvSpPr>
      <xdr:spPr bwMode="auto">
        <a:xfrm>
          <a:off x="5992586" y="925286"/>
          <a:ext cx="304800" cy="308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123823</xdr:rowOff>
    </xdr:to>
    <xdr:sp macro="" textlink="">
      <xdr:nvSpPr>
        <xdr:cNvPr id="140" name="AutoShape 4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40C918D2-492A-456E-8404-F2F9908274D9}"/>
            </a:ext>
          </a:extLst>
        </xdr:cNvPr>
        <xdr:cNvSpPr>
          <a:spLocks noChangeAspect="1" noChangeArrowheads="1"/>
        </xdr:cNvSpPr>
      </xdr:nvSpPr>
      <xdr:spPr bwMode="auto">
        <a:xfrm>
          <a:off x="6830786" y="925286"/>
          <a:ext cx="304800" cy="308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120648</xdr:rowOff>
    </xdr:to>
    <xdr:sp macro="" textlink="">
      <xdr:nvSpPr>
        <xdr:cNvPr id="141" name="AutoShape 8" descr="https://w1-ciqimg-com.proxy.bc.edu/CIQDOTNET/images/financial_singleBlackLine.gif?urwvid=1074222834">
          <a:extLst>
            <a:ext uri="{FF2B5EF4-FFF2-40B4-BE49-F238E27FC236}">
              <a16:creationId xmlns:a16="http://schemas.microsoft.com/office/drawing/2014/main" id="{6064630A-9690-4270-90DC-99D12ECD353D}"/>
            </a:ext>
          </a:extLst>
        </xdr:cNvPr>
        <xdr:cNvSpPr>
          <a:spLocks noChangeAspect="1" noChangeArrowheads="1"/>
        </xdr:cNvSpPr>
      </xdr:nvSpPr>
      <xdr:spPr bwMode="auto">
        <a:xfrm>
          <a:off x="5992586" y="925286"/>
          <a:ext cx="304800" cy="305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485967</xdr:colOff>
      <xdr:row>0</xdr:row>
      <xdr:rowOff>140737</xdr:rowOff>
    </xdr:from>
    <xdr:to>
      <xdr:col>11</xdr:col>
      <xdr:colOff>485967</xdr:colOff>
      <xdr:row>15</xdr:row>
      <xdr:rowOff>84753</xdr:rowOff>
    </xdr:to>
    <xdr:graphicFrame macro="">
      <xdr:nvGraphicFramePr>
        <xdr:cNvPr id="152" name="Chart 151">
          <a:extLst>
            <a:ext uri="{FF2B5EF4-FFF2-40B4-BE49-F238E27FC236}">
              <a16:creationId xmlns:a16="http://schemas.microsoft.com/office/drawing/2014/main" id="{4EF4EAB4-B740-4D33-AF5B-119DC517F2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icholas Lusiani" id="{7E72CA5A-6C9F-4579-8584-C8EE72359A69}" userId="S::NLusiani@OxfamAmerica.org::0cac36dc-87ac-45a6-9e41-9e54d89fed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CBE8-DB3C-4949-B086-5D9122004369}">
  <dimension ref="A1:B26"/>
  <sheetViews>
    <sheetView topLeftCell="A16" zoomScale="40" zoomScaleNormal="40" workbookViewId="0">
      <selection activeCell="W5" sqref="W5"/>
    </sheetView>
  </sheetViews>
  <sheetFormatPr defaultRowHeight="14.4" x14ac:dyDescent="0.3"/>
  <cols>
    <col min="1" max="1" width="16" customWidth="1"/>
  </cols>
  <sheetData>
    <row r="1" spans="1:2" x14ac:dyDescent="0.3">
      <c r="A1" s="1"/>
      <c r="B1" s="2"/>
    </row>
    <row r="2" spans="1:2" x14ac:dyDescent="0.3">
      <c r="B2" s="3"/>
    </row>
    <row r="3" spans="1:2" x14ac:dyDescent="0.3">
      <c r="B3" s="3"/>
    </row>
    <row r="4" spans="1:2" x14ac:dyDescent="0.3">
      <c r="B4" s="3"/>
    </row>
    <row r="5" spans="1:2" x14ac:dyDescent="0.3">
      <c r="B5" s="3"/>
    </row>
    <row r="6" spans="1:2" x14ac:dyDescent="0.3">
      <c r="B6" s="3"/>
    </row>
    <row r="7" spans="1:2" x14ac:dyDescent="0.3">
      <c r="B7" s="3"/>
    </row>
    <row r="8" spans="1:2" x14ac:dyDescent="0.3">
      <c r="A8" s="6"/>
      <c r="B8" s="3"/>
    </row>
    <row r="9" spans="1:2" x14ac:dyDescent="0.3">
      <c r="A9" s="6"/>
      <c r="B9" s="3"/>
    </row>
    <row r="10" spans="1:2" x14ac:dyDescent="0.3">
      <c r="A10" s="6"/>
      <c r="B10" s="3"/>
    </row>
    <row r="11" spans="1:2" x14ac:dyDescent="0.3">
      <c r="A11" s="8"/>
      <c r="B11" s="3"/>
    </row>
    <row r="12" spans="1:2" x14ac:dyDescent="0.3">
      <c r="A12" s="6"/>
      <c r="B12" s="3"/>
    </row>
    <row r="13" spans="1:2" x14ac:dyDescent="0.3">
      <c r="A13" s="8"/>
      <c r="B13" s="3"/>
    </row>
    <row r="14" spans="1:2" x14ac:dyDescent="0.3">
      <c r="B14" s="3"/>
    </row>
    <row r="15" spans="1:2" x14ac:dyDescent="0.3">
      <c r="B15" s="3"/>
    </row>
    <row r="16" spans="1:2" x14ac:dyDescent="0.3">
      <c r="B16" s="3"/>
    </row>
    <row r="17" spans="1:2" x14ac:dyDescent="0.3">
      <c r="B17" s="3"/>
    </row>
    <row r="18" spans="1:2" x14ac:dyDescent="0.3">
      <c r="B18" s="3"/>
    </row>
    <row r="19" spans="1:2" x14ac:dyDescent="0.3">
      <c r="B19" s="3"/>
    </row>
    <row r="20" spans="1:2" x14ac:dyDescent="0.3">
      <c r="A20" s="6"/>
      <c r="B20" s="3"/>
    </row>
    <row r="21" spans="1:2" x14ac:dyDescent="0.3">
      <c r="A21" s="6"/>
      <c r="B21" s="3"/>
    </row>
    <row r="22" spans="1:2" x14ac:dyDescent="0.3">
      <c r="A22" s="8"/>
      <c r="B22" s="3"/>
    </row>
    <row r="23" spans="1:2" x14ac:dyDescent="0.3">
      <c r="A23" s="8"/>
      <c r="B23" s="3"/>
    </row>
    <row r="24" spans="1:2" x14ac:dyDescent="0.3">
      <c r="A24" s="8"/>
      <c r="B24" s="3"/>
    </row>
    <row r="25" spans="1:2" x14ac:dyDescent="0.3">
      <c r="A25" s="6"/>
      <c r="B25" s="3"/>
    </row>
    <row r="26" spans="1:2" x14ac:dyDescent="0.3">
      <c r="A26" s="6"/>
      <c r="B26" s="3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5976-474B-4126-B1AD-BEA4B14AA398}">
  <dimension ref="A1:Z38"/>
  <sheetViews>
    <sheetView zoomScale="85" zoomScaleNormal="85" workbookViewId="0">
      <pane xSplit="1" topLeftCell="E1" activePane="topRight" state="frozen"/>
      <selection pane="topRight" activeCell="J2" sqref="J2"/>
    </sheetView>
  </sheetViews>
  <sheetFormatPr defaultColWidth="9.21875" defaultRowHeight="14.4" x14ac:dyDescent="0.3"/>
  <cols>
    <col min="1" max="1" width="22.88671875" style="32" customWidth="1"/>
    <col min="2" max="10" width="9.21875" style="32" customWidth="1"/>
    <col min="11" max="24" width="9.21875" style="32"/>
    <col min="25" max="25" width="14.109375" style="32" bestFit="1" customWidth="1"/>
    <col min="26" max="26" width="19.88671875" style="32" customWidth="1"/>
    <col min="27" max="16384" width="9.21875" style="32"/>
  </cols>
  <sheetData>
    <row r="1" spans="1:26" x14ac:dyDescent="0.3">
      <c r="A1" s="32" t="s">
        <v>22</v>
      </c>
      <c r="B1" s="32" t="s">
        <v>0</v>
      </c>
      <c r="C1" s="32" t="s">
        <v>67</v>
      </c>
      <c r="D1" s="32" t="s">
        <v>119</v>
      </c>
      <c r="E1" s="32" t="s">
        <v>1</v>
      </c>
      <c r="F1" s="32" t="s">
        <v>2</v>
      </c>
      <c r="G1" s="32" t="s">
        <v>3</v>
      </c>
      <c r="H1" s="14" t="s">
        <v>4</v>
      </c>
      <c r="I1" s="14" t="s">
        <v>64</v>
      </c>
      <c r="J1" s="14" t="s">
        <v>65</v>
      </c>
      <c r="K1" s="14" t="s">
        <v>30</v>
      </c>
      <c r="L1" s="14" t="s">
        <v>32</v>
      </c>
      <c r="M1" s="14" t="s">
        <v>33</v>
      </c>
      <c r="N1" s="14" t="s">
        <v>34</v>
      </c>
      <c r="O1" s="14" t="s">
        <v>35</v>
      </c>
      <c r="P1" s="14" t="s">
        <v>36</v>
      </c>
      <c r="Q1" s="14" t="s">
        <v>6</v>
      </c>
      <c r="R1" s="14" t="s">
        <v>63</v>
      </c>
      <c r="S1" s="14" t="s">
        <v>7</v>
      </c>
      <c r="T1" s="14" t="s">
        <v>62</v>
      </c>
      <c r="U1" s="14" t="s">
        <v>174</v>
      </c>
      <c r="V1" s="32" t="s">
        <v>31</v>
      </c>
      <c r="W1" s="32" t="s">
        <v>8</v>
      </c>
      <c r="X1" s="32" t="s">
        <v>9</v>
      </c>
      <c r="Y1" s="32" t="s">
        <v>10</v>
      </c>
      <c r="Z1" s="32" t="s">
        <v>178</v>
      </c>
    </row>
    <row r="2" spans="1:26" x14ac:dyDescent="0.3">
      <c r="A2" s="32" t="s">
        <v>158</v>
      </c>
      <c r="B2" s="32" t="s">
        <v>127</v>
      </c>
      <c r="C2" s="32" t="s">
        <v>93</v>
      </c>
      <c r="D2" s="32" t="s">
        <v>122</v>
      </c>
      <c r="E2" s="3" t="s">
        <v>82</v>
      </c>
      <c r="F2" s="3">
        <v>9000000</v>
      </c>
      <c r="G2" s="3">
        <v>175700000</v>
      </c>
      <c r="H2" s="3">
        <v>167400000</v>
      </c>
      <c r="I2" s="3">
        <f t="shared" ref="I2:I33" si="0">AVERAGE(E2:H2)</f>
        <v>117366666.66666667</v>
      </c>
      <c r="J2" s="3">
        <v>167300000</v>
      </c>
      <c r="K2" s="4">
        <f t="shared" ref="K2:K33" si="1">(J2/I2)-1</f>
        <v>0.4254473161033796</v>
      </c>
      <c r="L2" s="3" t="s">
        <v>82</v>
      </c>
      <c r="M2" s="3">
        <v>54400000</v>
      </c>
      <c r="N2" s="3">
        <v>326400000</v>
      </c>
      <c r="O2" s="3">
        <v>484900000</v>
      </c>
      <c r="P2" s="75">
        <f t="shared" ref="P2:P33" si="2">AVERAGE(L2:O2)</f>
        <v>288566666.66666669</v>
      </c>
      <c r="Q2" s="75">
        <v>482400000</v>
      </c>
      <c r="R2" s="4">
        <f t="shared" ref="R2:R33" si="3">I2/P2</f>
        <v>0.40672288321589462</v>
      </c>
      <c r="S2" s="4">
        <f t="shared" ref="S2:S33" si="4">J2/Q2</f>
        <v>0.34680762852404645</v>
      </c>
      <c r="T2" s="4">
        <f t="shared" ref="T2:T33" si="5">S2-R2</f>
        <v>-5.9915254691848163E-2</v>
      </c>
      <c r="U2" s="3">
        <f t="shared" ref="U2:U33" si="6">J2-I2</f>
        <v>49933333.333333328</v>
      </c>
      <c r="V2" s="32">
        <v>0</v>
      </c>
      <c r="W2" s="3">
        <f>V2*0.08</f>
        <v>0</v>
      </c>
      <c r="X2" s="3">
        <f t="shared" ref="X2:X33" si="7">W2+(0.95*I2)</f>
        <v>111498333.33333333</v>
      </c>
      <c r="Y2" s="3">
        <f t="shared" ref="Y2:Y33" si="8">J2-X2</f>
        <v>55801666.666666672</v>
      </c>
      <c r="Z2" s="3">
        <f t="shared" ref="Z2:Z33" si="9">Y2*0.95</f>
        <v>53011583.333333336</v>
      </c>
    </row>
    <row r="3" spans="1:26" x14ac:dyDescent="0.3">
      <c r="A3" s="14" t="s">
        <v>153</v>
      </c>
      <c r="B3" s="32" t="s">
        <v>128</v>
      </c>
      <c r="C3" s="32" t="s">
        <v>91</v>
      </c>
      <c r="D3" s="32" t="s">
        <v>122</v>
      </c>
      <c r="E3" s="3">
        <v>63000000</v>
      </c>
      <c r="F3" s="3">
        <v>-191000000</v>
      </c>
      <c r="G3" s="3">
        <v>133000000</v>
      </c>
      <c r="H3" s="3">
        <v>-12000000</v>
      </c>
      <c r="I3" s="3">
        <f t="shared" si="0"/>
        <v>-1750000</v>
      </c>
      <c r="J3" s="3">
        <v>295000000</v>
      </c>
      <c r="K3" s="4">
        <f t="shared" si="1"/>
        <v>-169.57142857142858</v>
      </c>
      <c r="L3" s="3">
        <v>4223000000</v>
      </c>
      <c r="M3" s="3">
        <v>3394000000</v>
      </c>
      <c r="N3" s="3">
        <v>3336000000</v>
      </c>
      <c r="O3" s="3">
        <v>3525000000</v>
      </c>
      <c r="P3" s="75">
        <f t="shared" si="2"/>
        <v>3619500000</v>
      </c>
      <c r="Q3" s="3">
        <v>3906000000</v>
      </c>
      <c r="R3" s="4">
        <f t="shared" si="3"/>
        <v>-4.8349219505456557E-4</v>
      </c>
      <c r="S3" s="4">
        <f t="shared" si="4"/>
        <v>7.5524833589349721E-2</v>
      </c>
      <c r="T3" s="4">
        <f t="shared" si="5"/>
        <v>7.6008325784404293E-2</v>
      </c>
      <c r="U3" s="3">
        <f t="shared" si="6"/>
        <v>296750000</v>
      </c>
      <c r="V3" s="28">
        <v>0</v>
      </c>
      <c r="W3" s="3">
        <f>V3*0.08</f>
        <v>0</v>
      </c>
      <c r="X3" s="3">
        <f t="shared" si="7"/>
        <v>-1662500</v>
      </c>
      <c r="Y3" s="3">
        <f t="shared" si="8"/>
        <v>296662500</v>
      </c>
      <c r="Z3" s="3">
        <f t="shared" si="9"/>
        <v>281829375</v>
      </c>
    </row>
    <row r="4" spans="1:26" x14ac:dyDescent="0.3">
      <c r="A4" s="32" t="s">
        <v>170</v>
      </c>
      <c r="B4" s="32" t="s">
        <v>14</v>
      </c>
      <c r="C4" s="32" t="s">
        <v>91</v>
      </c>
      <c r="D4" s="32" t="s">
        <v>122</v>
      </c>
      <c r="E4" s="3">
        <v>-190600000</v>
      </c>
      <c r="F4" s="3">
        <v>356900000</v>
      </c>
      <c r="G4" s="3">
        <v>606000000</v>
      </c>
      <c r="H4" s="3">
        <v>640500000</v>
      </c>
      <c r="I4" s="3">
        <f t="shared" si="0"/>
        <v>353200000</v>
      </c>
      <c r="J4" s="3">
        <v>951600000</v>
      </c>
      <c r="K4" s="4">
        <f t="shared" si="1"/>
        <v>1.694224235560589</v>
      </c>
      <c r="L4" s="75">
        <v>10787200000</v>
      </c>
      <c r="M4" s="75">
        <v>10738100000</v>
      </c>
      <c r="N4" s="75">
        <v>9352900000</v>
      </c>
      <c r="O4" s="75">
        <v>10824200000</v>
      </c>
      <c r="P4" s="75">
        <f t="shared" si="2"/>
        <v>10425600000</v>
      </c>
      <c r="Q4" s="75">
        <v>9378600000</v>
      </c>
      <c r="R4" s="4">
        <f t="shared" si="3"/>
        <v>3.3878146101903005E-2</v>
      </c>
      <c r="S4" s="4">
        <f t="shared" si="4"/>
        <v>0.10146503742562855</v>
      </c>
      <c r="T4" s="4">
        <f t="shared" si="5"/>
        <v>6.7586891323725556E-2</v>
      </c>
      <c r="U4" s="3">
        <f t="shared" si="6"/>
        <v>598400000</v>
      </c>
      <c r="V4" s="79">
        <v>0</v>
      </c>
      <c r="W4" s="3">
        <f>V4*0.08</f>
        <v>0</v>
      </c>
      <c r="X4" s="3">
        <f t="shared" si="7"/>
        <v>335540000</v>
      </c>
      <c r="Y4" s="3">
        <f t="shared" si="8"/>
        <v>616060000</v>
      </c>
      <c r="Z4" s="3">
        <f t="shared" si="9"/>
        <v>585257000</v>
      </c>
    </row>
    <row r="5" spans="1:26" x14ac:dyDescent="0.3">
      <c r="A5" s="14" t="s">
        <v>148</v>
      </c>
      <c r="B5" s="32" t="s">
        <v>14</v>
      </c>
      <c r="C5" s="3" t="s">
        <v>129</v>
      </c>
      <c r="D5" s="3" t="s">
        <v>129</v>
      </c>
      <c r="E5" s="3">
        <v>1909000000</v>
      </c>
      <c r="F5" s="3">
        <v>1346000000</v>
      </c>
      <c r="G5" s="3">
        <v>-1616000000</v>
      </c>
      <c r="H5" s="3">
        <v>1028000000</v>
      </c>
      <c r="I5" s="3">
        <f t="shared" si="0"/>
        <v>666750000</v>
      </c>
      <c r="J5" s="3">
        <v>1173800000</v>
      </c>
      <c r="K5" s="4">
        <f t="shared" si="1"/>
        <v>0.76047994000749908</v>
      </c>
      <c r="L5" s="75">
        <v>20083000000</v>
      </c>
      <c r="M5" s="75">
        <v>23809000000</v>
      </c>
      <c r="N5" s="75">
        <v>21685000000</v>
      </c>
      <c r="O5" s="75">
        <v>20171000000</v>
      </c>
      <c r="P5" s="75">
        <f t="shared" si="2"/>
        <v>21437000000</v>
      </c>
      <c r="Q5" s="75">
        <v>18837500000</v>
      </c>
      <c r="R5" s="4">
        <f t="shared" si="3"/>
        <v>3.1102766245276858E-2</v>
      </c>
      <c r="S5" s="4">
        <f t="shared" si="4"/>
        <v>6.2311877903118776E-2</v>
      </c>
      <c r="T5" s="4">
        <f t="shared" si="5"/>
        <v>3.1209111657841918E-2</v>
      </c>
      <c r="U5" s="3">
        <f t="shared" si="6"/>
        <v>507050000</v>
      </c>
      <c r="V5" s="33">
        <v>0</v>
      </c>
      <c r="W5" s="3">
        <v>0</v>
      </c>
      <c r="X5" s="3">
        <f t="shared" si="7"/>
        <v>633412500</v>
      </c>
      <c r="Y5" s="3">
        <f t="shared" si="8"/>
        <v>540387500</v>
      </c>
      <c r="Z5" s="3">
        <f t="shared" si="9"/>
        <v>513368125</v>
      </c>
    </row>
    <row r="6" spans="1:26" x14ac:dyDescent="0.3">
      <c r="A6" s="14" t="s">
        <v>151</v>
      </c>
      <c r="B6" s="32" t="s">
        <v>20</v>
      </c>
      <c r="C6" s="32" t="s">
        <v>89</v>
      </c>
      <c r="D6" s="32" t="s">
        <v>122</v>
      </c>
      <c r="E6" s="3">
        <v>899000000</v>
      </c>
      <c r="F6" s="3">
        <v>1150000000</v>
      </c>
      <c r="G6" s="3">
        <v>1261000000</v>
      </c>
      <c r="H6" s="3">
        <v>1448000000</v>
      </c>
      <c r="I6" s="3">
        <f t="shared" si="0"/>
        <v>1189500000</v>
      </c>
      <c r="J6" s="3">
        <v>1403900000</v>
      </c>
      <c r="K6" s="4">
        <f t="shared" si="1"/>
        <v>0.18024379991593098</v>
      </c>
      <c r="L6" s="3">
        <v>3116000000</v>
      </c>
      <c r="M6" s="3">
        <v>3966000000</v>
      </c>
      <c r="N6" s="3">
        <v>4603000000</v>
      </c>
      <c r="O6" s="3">
        <v>5060000000</v>
      </c>
      <c r="P6" s="75">
        <f t="shared" si="2"/>
        <v>4186250000</v>
      </c>
      <c r="Q6" s="3">
        <v>5033400000</v>
      </c>
      <c r="R6" s="4">
        <f t="shared" si="3"/>
        <v>0.28414452075246344</v>
      </c>
      <c r="S6" s="4">
        <f t="shared" si="4"/>
        <v>0.27891683553860214</v>
      </c>
      <c r="T6" s="4">
        <f t="shared" si="5"/>
        <v>-5.2276852138612995E-3</v>
      </c>
      <c r="U6" s="3">
        <f t="shared" si="6"/>
        <v>214400000</v>
      </c>
      <c r="V6" s="3">
        <v>29000</v>
      </c>
      <c r="W6" s="3">
        <f t="shared" ref="W6:W12" si="10">V6*0.08</f>
        <v>2320</v>
      </c>
      <c r="X6" s="3">
        <f t="shared" si="7"/>
        <v>1130027320</v>
      </c>
      <c r="Y6" s="3">
        <f t="shared" si="8"/>
        <v>273872680</v>
      </c>
      <c r="Z6" s="3">
        <f t="shared" si="9"/>
        <v>260179046</v>
      </c>
    </row>
    <row r="7" spans="1:26" x14ac:dyDescent="0.3">
      <c r="A7" s="14" t="s">
        <v>149</v>
      </c>
      <c r="B7" s="32" t="s">
        <v>13</v>
      </c>
      <c r="C7" s="32" t="s">
        <v>73</v>
      </c>
      <c r="D7" s="32" t="s">
        <v>73</v>
      </c>
      <c r="E7" s="3">
        <v>1645000000</v>
      </c>
      <c r="F7" s="3">
        <v>2482000000</v>
      </c>
      <c r="G7" s="3">
        <v>2967000000</v>
      </c>
      <c r="H7" s="3">
        <v>2909000000</v>
      </c>
      <c r="I7" s="3">
        <f t="shared" si="0"/>
        <v>2500750000</v>
      </c>
      <c r="J7" s="3">
        <v>3254000000</v>
      </c>
      <c r="K7" s="4">
        <f t="shared" si="1"/>
        <v>0.30120963710886728</v>
      </c>
      <c r="L7" s="75">
        <v>7258000000</v>
      </c>
      <c r="M7" s="75">
        <v>10762000000</v>
      </c>
      <c r="N7" s="75">
        <v>12530000000</v>
      </c>
      <c r="O7" s="75">
        <v>13265000000</v>
      </c>
      <c r="P7" s="75">
        <f t="shared" si="2"/>
        <v>10953750000</v>
      </c>
      <c r="Q7" s="75">
        <v>14336000000</v>
      </c>
      <c r="R7" s="4">
        <f t="shared" si="3"/>
        <v>0.22830081022480886</v>
      </c>
      <c r="S7" s="4">
        <f t="shared" si="4"/>
        <v>0.22698102678571427</v>
      </c>
      <c r="T7" s="4">
        <f t="shared" si="5"/>
        <v>-1.3197834390945851E-3</v>
      </c>
      <c r="U7" s="3">
        <f t="shared" si="6"/>
        <v>753250000</v>
      </c>
      <c r="V7" s="3">
        <v>2376000000</v>
      </c>
      <c r="W7" s="3">
        <f t="shared" si="10"/>
        <v>190080000</v>
      </c>
      <c r="X7" s="3">
        <f t="shared" si="7"/>
        <v>2565792500</v>
      </c>
      <c r="Y7" s="3">
        <f t="shared" si="8"/>
        <v>688207500</v>
      </c>
      <c r="Z7" s="3">
        <f t="shared" si="9"/>
        <v>653797125</v>
      </c>
    </row>
    <row r="8" spans="1:26" x14ac:dyDescent="0.3">
      <c r="A8" s="14" t="s">
        <v>154</v>
      </c>
      <c r="B8" s="32" t="s">
        <v>13</v>
      </c>
      <c r="C8" s="32" t="s">
        <v>89</v>
      </c>
      <c r="D8" s="32" t="s">
        <v>122</v>
      </c>
      <c r="E8" s="3">
        <v>3662000000</v>
      </c>
      <c r="F8" s="3">
        <v>4057300000</v>
      </c>
      <c r="G8" s="3">
        <v>3968700000</v>
      </c>
      <c r="H8" s="3">
        <v>4542400000</v>
      </c>
      <c r="I8" s="3">
        <f t="shared" si="0"/>
        <v>4057600000</v>
      </c>
      <c r="J8" s="3">
        <v>4132600000</v>
      </c>
      <c r="K8" s="4">
        <f t="shared" si="1"/>
        <v>1.8483832807570932E-2</v>
      </c>
      <c r="L8" s="75">
        <v>16393000000</v>
      </c>
      <c r="M8" s="75">
        <v>18206000000</v>
      </c>
      <c r="N8" s="75">
        <v>18917000000</v>
      </c>
      <c r="O8" s="75">
        <v>21139000000</v>
      </c>
      <c r="P8" s="75">
        <f t="shared" si="2"/>
        <v>18663750000</v>
      </c>
      <c r="Q8" s="75">
        <v>20797000000</v>
      </c>
      <c r="R8" s="4">
        <f t="shared" si="3"/>
        <v>0.21740539816489182</v>
      </c>
      <c r="S8" s="4">
        <f t="shared" si="4"/>
        <v>0.19871135259893255</v>
      </c>
      <c r="T8" s="4">
        <f t="shared" si="5"/>
        <v>-1.8694045565959272E-2</v>
      </c>
      <c r="U8" s="3">
        <f t="shared" si="6"/>
        <v>75000000</v>
      </c>
      <c r="V8" s="32">
        <v>0</v>
      </c>
      <c r="W8" s="3">
        <f t="shared" si="10"/>
        <v>0</v>
      </c>
      <c r="X8" s="3">
        <f t="shared" si="7"/>
        <v>3854720000</v>
      </c>
      <c r="Y8" s="3">
        <f t="shared" si="8"/>
        <v>277880000</v>
      </c>
      <c r="Z8" s="3">
        <f t="shared" si="9"/>
        <v>263986000</v>
      </c>
    </row>
    <row r="9" spans="1:26" x14ac:dyDescent="0.3">
      <c r="A9" s="14" t="s">
        <v>147</v>
      </c>
      <c r="B9" s="32" t="s">
        <v>14</v>
      </c>
      <c r="C9" s="32" t="s">
        <v>79</v>
      </c>
      <c r="D9" s="32" t="s">
        <v>120</v>
      </c>
      <c r="E9" s="3">
        <v>2823800000</v>
      </c>
      <c r="F9" s="3">
        <v>4155900000</v>
      </c>
      <c r="G9" s="3">
        <v>2480000000</v>
      </c>
      <c r="H9" s="3">
        <v>4339600000</v>
      </c>
      <c r="I9" s="3">
        <f t="shared" si="0"/>
        <v>3449825000</v>
      </c>
      <c r="J9" s="3">
        <v>4267000000</v>
      </c>
      <c r="K9" s="4">
        <f t="shared" si="1"/>
        <v>0.23687433420535831</v>
      </c>
      <c r="L9" s="75">
        <v>79429000000</v>
      </c>
      <c r="M9" s="75">
        <v>92786000000</v>
      </c>
      <c r="N9" s="75">
        <v>89441000000</v>
      </c>
      <c r="O9" s="75">
        <v>93114000000</v>
      </c>
      <c r="P9" s="75">
        <f t="shared" si="2"/>
        <v>88692500000</v>
      </c>
      <c r="Q9" s="75">
        <v>91699000000</v>
      </c>
      <c r="R9" s="4">
        <f t="shared" si="3"/>
        <v>3.8896468134284184E-2</v>
      </c>
      <c r="S9" s="4">
        <f t="shared" si="4"/>
        <v>4.6532677564640836E-2</v>
      </c>
      <c r="T9" s="4">
        <f t="shared" si="5"/>
        <v>7.6362094303566511E-3</v>
      </c>
      <c r="U9" s="3">
        <f t="shared" si="6"/>
        <v>817175000</v>
      </c>
      <c r="V9" s="78">
        <v>0</v>
      </c>
      <c r="W9" s="3">
        <f t="shared" si="10"/>
        <v>0</v>
      </c>
      <c r="X9" s="3">
        <f t="shared" si="7"/>
        <v>3277333750</v>
      </c>
      <c r="Y9" s="3">
        <f t="shared" si="8"/>
        <v>989666250</v>
      </c>
      <c r="Z9" s="3">
        <f t="shared" si="9"/>
        <v>940182937.5</v>
      </c>
    </row>
    <row r="10" spans="1:26" x14ac:dyDescent="0.3">
      <c r="A10" s="14" t="s">
        <v>150</v>
      </c>
      <c r="B10" s="32" t="s">
        <v>20</v>
      </c>
      <c r="C10" s="32" t="s">
        <v>89</v>
      </c>
      <c r="D10" s="32" t="s">
        <v>122</v>
      </c>
      <c r="E10" s="3">
        <v>4488100000</v>
      </c>
      <c r="F10" s="3">
        <v>4614700000</v>
      </c>
      <c r="G10" s="3">
        <v>5543600000</v>
      </c>
      <c r="H10" s="3">
        <v>5713800000</v>
      </c>
      <c r="I10" s="3">
        <f t="shared" si="0"/>
        <v>5090050000</v>
      </c>
      <c r="J10" s="3">
        <v>5624000000</v>
      </c>
      <c r="K10" s="4">
        <f t="shared" si="1"/>
        <v>0.10490073771377495</v>
      </c>
      <c r="L10" s="3">
        <v>44255000000</v>
      </c>
      <c r="M10" s="3">
        <v>50958000000</v>
      </c>
      <c r="N10" s="3">
        <v>62738000000</v>
      </c>
      <c r="O10" s="3">
        <v>82155000000</v>
      </c>
      <c r="P10" s="75">
        <f t="shared" si="2"/>
        <v>60026500000</v>
      </c>
      <c r="Q10" s="75">
        <v>69767000000</v>
      </c>
      <c r="R10" s="4">
        <f t="shared" si="3"/>
        <v>8.4796714784303603E-2</v>
      </c>
      <c r="S10" s="4">
        <f t="shared" si="4"/>
        <v>8.0611177204122295E-2</v>
      </c>
      <c r="T10" s="4">
        <f t="shared" si="5"/>
        <v>-4.1855375801813088E-3</v>
      </c>
      <c r="U10" s="3">
        <f t="shared" si="6"/>
        <v>533950000</v>
      </c>
      <c r="V10" s="32">
        <v>0</v>
      </c>
      <c r="W10" s="3">
        <f t="shared" si="10"/>
        <v>0</v>
      </c>
      <c r="X10" s="3">
        <f t="shared" si="7"/>
        <v>4835547500</v>
      </c>
      <c r="Y10" s="3">
        <f t="shared" si="8"/>
        <v>788452500</v>
      </c>
      <c r="Z10" s="3">
        <f t="shared" si="9"/>
        <v>749029875</v>
      </c>
    </row>
    <row r="11" spans="1:26" x14ac:dyDescent="0.3">
      <c r="A11" s="14" t="s">
        <v>152</v>
      </c>
      <c r="B11" s="32" t="s">
        <v>24</v>
      </c>
      <c r="C11" s="32" t="s">
        <v>125</v>
      </c>
      <c r="D11" s="32" t="s">
        <v>125</v>
      </c>
      <c r="E11" s="3">
        <v>5385000000</v>
      </c>
      <c r="F11" s="3">
        <v>6149000000</v>
      </c>
      <c r="G11" s="3">
        <v>5925000000</v>
      </c>
      <c r="H11" s="3">
        <v>5850000000</v>
      </c>
      <c r="I11" s="3">
        <f t="shared" si="0"/>
        <v>5827250000</v>
      </c>
      <c r="J11" s="3">
        <v>6253700000</v>
      </c>
      <c r="K11" s="4">
        <f t="shared" si="1"/>
        <v>7.3182032691235133E-2</v>
      </c>
      <c r="L11" s="75">
        <v>15871000000</v>
      </c>
      <c r="M11" s="75">
        <v>18014000000</v>
      </c>
      <c r="N11" s="75">
        <v>17152000000</v>
      </c>
      <c r="O11" s="75">
        <v>18325000000</v>
      </c>
      <c r="P11" s="75">
        <f t="shared" si="2"/>
        <v>17340500000</v>
      </c>
      <c r="Q11" s="75">
        <v>19104500000</v>
      </c>
      <c r="R11" s="4">
        <f t="shared" si="3"/>
        <v>0.33604855684668838</v>
      </c>
      <c r="S11" s="4">
        <f t="shared" si="4"/>
        <v>0.32734172577141513</v>
      </c>
      <c r="T11" s="4">
        <f t="shared" si="5"/>
        <v>-8.7068310752732581E-3</v>
      </c>
      <c r="U11" s="3">
        <f t="shared" si="6"/>
        <v>426450000</v>
      </c>
      <c r="V11" s="3">
        <v>2204000000</v>
      </c>
      <c r="W11" s="3">
        <f t="shared" si="10"/>
        <v>176320000</v>
      </c>
      <c r="X11" s="3">
        <f t="shared" si="7"/>
        <v>5712207500</v>
      </c>
      <c r="Y11" s="3">
        <f t="shared" si="8"/>
        <v>541492500</v>
      </c>
      <c r="Z11" s="3">
        <f t="shared" si="9"/>
        <v>514417875</v>
      </c>
    </row>
    <row r="12" spans="1:26" x14ac:dyDescent="0.3">
      <c r="A12" s="14" t="s">
        <v>43</v>
      </c>
      <c r="B12" s="14" t="s">
        <v>24</v>
      </c>
      <c r="C12" s="14" t="s">
        <v>66</v>
      </c>
      <c r="D12" s="14" t="s">
        <v>66</v>
      </c>
      <c r="E12" s="3">
        <v>5953000000</v>
      </c>
      <c r="F12" s="3">
        <v>5309000000</v>
      </c>
      <c r="G12" s="3">
        <v>5687000000</v>
      </c>
      <c r="H12" s="3">
        <v>7882000000</v>
      </c>
      <c r="I12" s="3">
        <f t="shared" si="0"/>
        <v>6207750000</v>
      </c>
      <c r="J12" s="3">
        <v>6957000000</v>
      </c>
      <c r="K12" s="4">
        <f t="shared" si="1"/>
        <v>0.12069590431315702</v>
      </c>
      <c r="L12" s="75">
        <v>25638000000</v>
      </c>
      <c r="M12" s="75">
        <v>28216000000</v>
      </c>
      <c r="N12" s="75">
        <v>32753000000</v>
      </c>
      <c r="O12" s="75">
        <v>33266000000</v>
      </c>
      <c r="P12" s="75">
        <f t="shared" si="2"/>
        <v>29968250000</v>
      </c>
      <c r="Q12" s="3">
        <v>36227000000</v>
      </c>
      <c r="R12" s="4">
        <f t="shared" si="3"/>
        <v>0.20714422764091997</v>
      </c>
      <c r="S12" s="4">
        <f t="shared" si="4"/>
        <v>0.19203908686890994</v>
      </c>
      <c r="T12" s="4">
        <f t="shared" si="5"/>
        <v>-1.5105140772010028E-2</v>
      </c>
      <c r="U12" s="3">
        <f t="shared" si="6"/>
        <v>749250000</v>
      </c>
      <c r="V12" s="3">
        <v>5582000000</v>
      </c>
      <c r="W12" s="3">
        <f t="shared" si="10"/>
        <v>446560000</v>
      </c>
      <c r="X12" s="3">
        <f t="shared" si="7"/>
        <v>6343922500</v>
      </c>
      <c r="Y12" s="3">
        <f t="shared" si="8"/>
        <v>613077500</v>
      </c>
      <c r="Z12" s="3">
        <f t="shared" si="9"/>
        <v>582423625</v>
      </c>
    </row>
    <row r="13" spans="1:26" x14ac:dyDescent="0.3">
      <c r="A13" s="14" t="s">
        <v>198</v>
      </c>
      <c r="B13" s="32" t="s">
        <v>19</v>
      </c>
      <c r="C13" s="32" t="s">
        <v>77</v>
      </c>
      <c r="D13" s="32" t="s">
        <v>77</v>
      </c>
      <c r="E13" s="3">
        <v>5093400000</v>
      </c>
      <c r="F13" s="3">
        <v>7844500000</v>
      </c>
      <c r="G13" s="3">
        <v>7836000000</v>
      </c>
      <c r="H13" s="3">
        <v>8077700000</v>
      </c>
      <c r="I13" s="3">
        <f t="shared" si="0"/>
        <v>7212900000</v>
      </c>
      <c r="J13" s="3">
        <v>7231600000</v>
      </c>
      <c r="K13" s="4">
        <f t="shared" si="1"/>
        <v>2.59257718809347E-3</v>
      </c>
      <c r="L13" s="75">
        <v>29547000000</v>
      </c>
      <c r="M13" s="75">
        <v>36560000000</v>
      </c>
      <c r="N13" s="75">
        <v>35731000000</v>
      </c>
      <c r="O13" s="75">
        <v>35435000000</v>
      </c>
      <c r="P13" s="75">
        <f t="shared" si="2"/>
        <v>34318250000</v>
      </c>
      <c r="Q13" s="75">
        <v>33871000000</v>
      </c>
      <c r="R13" s="4">
        <f t="shared" si="3"/>
        <v>0.21017680097324309</v>
      </c>
      <c r="S13" s="4">
        <f t="shared" si="4"/>
        <v>0.21350417761506893</v>
      </c>
      <c r="T13" s="4">
        <f t="shared" si="5"/>
        <v>3.3273766418258355E-3</v>
      </c>
      <c r="U13" s="3">
        <f t="shared" si="6"/>
        <v>18700000</v>
      </c>
      <c r="V13" s="35">
        <v>0</v>
      </c>
      <c r="W13" s="3"/>
      <c r="X13" s="3">
        <f t="shared" si="7"/>
        <v>6852255000</v>
      </c>
      <c r="Y13" s="3">
        <f t="shared" si="8"/>
        <v>379345000</v>
      </c>
      <c r="Z13" s="3">
        <f t="shared" si="9"/>
        <v>360377750</v>
      </c>
    </row>
    <row r="14" spans="1:26" x14ac:dyDescent="0.3">
      <c r="A14" s="14" t="s">
        <v>171</v>
      </c>
      <c r="B14" s="32" t="s">
        <v>84</v>
      </c>
      <c r="C14" s="32" t="s">
        <v>85</v>
      </c>
      <c r="D14" s="32" t="s">
        <v>120</v>
      </c>
      <c r="E14" s="3">
        <v>-6385000000</v>
      </c>
      <c r="F14" s="3">
        <v>5890000000</v>
      </c>
      <c r="G14" s="3">
        <v>3705000000</v>
      </c>
      <c r="H14" s="3">
        <v>9410000000</v>
      </c>
      <c r="I14" s="3">
        <f t="shared" si="0"/>
        <v>3155000000</v>
      </c>
      <c r="J14" s="3">
        <v>7956000000</v>
      </c>
      <c r="K14" s="4">
        <f t="shared" si="1"/>
        <v>1.5217115689381933</v>
      </c>
      <c r="L14" s="75">
        <v>29005000000</v>
      </c>
      <c r="M14" s="75">
        <v>35947000000</v>
      </c>
      <c r="N14" s="75">
        <v>43386000000</v>
      </c>
      <c r="O14" s="75">
        <v>44609000000</v>
      </c>
      <c r="P14" s="75">
        <f t="shared" si="2"/>
        <v>38236750000</v>
      </c>
      <c r="Q14" s="3">
        <v>43708000000</v>
      </c>
      <c r="R14" s="4">
        <f t="shared" si="3"/>
        <v>8.2512242803062505E-2</v>
      </c>
      <c r="S14" s="4">
        <f t="shared" si="4"/>
        <v>0.18202617369817883</v>
      </c>
      <c r="T14" s="4">
        <f t="shared" si="5"/>
        <v>9.9513930895116329E-2</v>
      </c>
      <c r="U14" s="3">
        <f t="shared" si="6"/>
        <v>4801000000</v>
      </c>
      <c r="V14" s="35">
        <v>0</v>
      </c>
      <c r="W14" s="3">
        <f t="shared" ref="W14:W33" si="11">V14*0.08</f>
        <v>0</v>
      </c>
      <c r="X14" s="3">
        <f t="shared" si="7"/>
        <v>2997250000</v>
      </c>
      <c r="Y14" s="3">
        <f t="shared" si="8"/>
        <v>4958750000</v>
      </c>
      <c r="Z14" s="3">
        <f t="shared" si="9"/>
        <v>4710812500</v>
      </c>
    </row>
    <row r="15" spans="1:26" x14ac:dyDescent="0.3">
      <c r="A15" s="14" t="s">
        <v>60</v>
      </c>
      <c r="B15" s="14" t="s">
        <v>15</v>
      </c>
      <c r="C15" s="14" t="s">
        <v>66</v>
      </c>
      <c r="D15" s="14" t="s">
        <v>66</v>
      </c>
      <c r="E15" s="3">
        <v>5317000000</v>
      </c>
      <c r="F15" s="3">
        <v>6622000000</v>
      </c>
      <c r="G15" s="3">
        <v>-594000000</v>
      </c>
      <c r="H15" s="3">
        <v>6634000000</v>
      </c>
      <c r="I15" s="3">
        <f t="shared" si="0"/>
        <v>4494750000</v>
      </c>
      <c r="J15" s="75">
        <v>8259000000</v>
      </c>
      <c r="K15" s="4">
        <f t="shared" si="1"/>
        <v>0.83747705656599369</v>
      </c>
      <c r="L15" s="75">
        <v>177526000000</v>
      </c>
      <c r="M15" s="75">
        <v>184765000000</v>
      </c>
      <c r="N15" s="75">
        <v>194579000000</v>
      </c>
      <c r="O15" s="75">
        <v>256776000000</v>
      </c>
      <c r="P15" s="75">
        <f t="shared" si="2"/>
        <v>203411500000</v>
      </c>
      <c r="Q15" s="75">
        <v>262784000000</v>
      </c>
      <c r="R15" s="4">
        <f t="shared" si="3"/>
        <v>2.2096833266555725E-2</v>
      </c>
      <c r="S15" s="4">
        <f t="shared" si="4"/>
        <v>3.1428854115927912E-2</v>
      </c>
      <c r="T15" s="4">
        <f t="shared" si="5"/>
        <v>9.3320208493721871E-3</v>
      </c>
      <c r="U15" s="3">
        <f t="shared" si="6"/>
        <v>3764250000</v>
      </c>
      <c r="V15" s="3">
        <v>0</v>
      </c>
      <c r="W15" s="3">
        <f t="shared" si="11"/>
        <v>0</v>
      </c>
      <c r="X15" s="3">
        <f t="shared" si="7"/>
        <v>4270012500</v>
      </c>
      <c r="Y15" s="3">
        <f t="shared" si="8"/>
        <v>3988987500</v>
      </c>
      <c r="Z15" s="3">
        <f t="shared" si="9"/>
        <v>3789538125</v>
      </c>
    </row>
    <row r="16" spans="1:26" x14ac:dyDescent="0.3">
      <c r="A16" s="14" t="s">
        <v>42</v>
      </c>
      <c r="B16" s="32" t="s">
        <v>13</v>
      </c>
      <c r="C16" s="14" t="s">
        <v>66</v>
      </c>
      <c r="D16" s="14" t="s">
        <v>66</v>
      </c>
      <c r="E16" s="3">
        <v>8901000000</v>
      </c>
      <c r="F16" s="3">
        <v>9335000000</v>
      </c>
      <c r="G16" s="3">
        <v>3825000000</v>
      </c>
      <c r="H16" s="3">
        <v>11083000000</v>
      </c>
      <c r="I16" s="3">
        <f t="shared" si="0"/>
        <v>8286000000</v>
      </c>
      <c r="J16" s="3">
        <v>10135000000</v>
      </c>
      <c r="K16" s="4">
        <f t="shared" si="1"/>
        <v>0.22314747767318366</v>
      </c>
      <c r="L16" s="75">
        <v>37407000000</v>
      </c>
      <c r="M16" s="75">
        <v>37728000000</v>
      </c>
      <c r="N16" s="75">
        <v>39831000000</v>
      </c>
      <c r="O16" s="75">
        <v>39506000000</v>
      </c>
      <c r="P16" s="75">
        <f t="shared" si="2"/>
        <v>38618000000</v>
      </c>
      <c r="Q16" s="3">
        <v>39068000000</v>
      </c>
      <c r="R16" s="4">
        <f t="shared" si="3"/>
        <v>0.21456315707701071</v>
      </c>
      <c r="S16" s="4">
        <f t="shared" si="4"/>
        <v>0.25941947373809765</v>
      </c>
      <c r="T16" s="4">
        <f t="shared" si="5"/>
        <v>4.4856316661086942E-2</v>
      </c>
      <c r="U16" s="3">
        <f t="shared" si="6"/>
        <v>1849000000</v>
      </c>
      <c r="V16" s="3">
        <v>6067000000</v>
      </c>
      <c r="W16" s="3">
        <f t="shared" si="11"/>
        <v>485360000</v>
      </c>
      <c r="X16" s="3">
        <f t="shared" si="7"/>
        <v>8357060000</v>
      </c>
      <c r="Y16" s="3">
        <f t="shared" si="8"/>
        <v>1777940000</v>
      </c>
      <c r="Z16" s="3">
        <f t="shared" si="9"/>
        <v>1689043000</v>
      </c>
    </row>
    <row r="17" spans="1:26" x14ac:dyDescent="0.3">
      <c r="A17" s="14" t="s">
        <v>46</v>
      </c>
      <c r="B17" s="14" t="s">
        <v>24</v>
      </c>
      <c r="C17" s="14" t="s">
        <v>66</v>
      </c>
      <c r="D17" s="14" t="s">
        <v>120</v>
      </c>
      <c r="E17" s="3">
        <v>3920000000</v>
      </c>
      <c r="F17" s="3">
        <v>2394000000</v>
      </c>
      <c r="G17" s="3">
        <v>6220000000</v>
      </c>
      <c r="H17" s="3">
        <v>9843000000</v>
      </c>
      <c r="I17" s="3">
        <f t="shared" si="0"/>
        <v>5594250000</v>
      </c>
      <c r="J17" s="3">
        <v>10479000000</v>
      </c>
      <c r="K17" s="4">
        <f t="shared" si="1"/>
        <v>0.87317334763373111</v>
      </c>
      <c r="L17" s="75">
        <v>39807000000</v>
      </c>
      <c r="M17" s="75">
        <v>40122000000</v>
      </c>
      <c r="N17" s="75">
        <v>42294000000</v>
      </c>
      <c r="O17" s="75">
        <v>46840000000</v>
      </c>
      <c r="P17" s="75">
        <f t="shared" si="2"/>
        <v>42265750000</v>
      </c>
      <c r="Q17" s="3">
        <v>47194000000</v>
      </c>
      <c r="R17" s="4">
        <f t="shared" si="3"/>
        <v>0.13235894311587987</v>
      </c>
      <c r="S17" s="4">
        <f t="shared" si="4"/>
        <v>0.22204093740729755</v>
      </c>
      <c r="T17" s="4">
        <f t="shared" si="5"/>
        <v>8.9681994291417683E-2</v>
      </c>
      <c r="U17" s="3">
        <f t="shared" si="6"/>
        <v>4884750000</v>
      </c>
      <c r="V17" s="3">
        <v>8910000000</v>
      </c>
      <c r="W17" s="3">
        <f t="shared" si="11"/>
        <v>712800000</v>
      </c>
      <c r="X17" s="3">
        <f t="shared" si="7"/>
        <v>6027337500</v>
      </c>
      <c r="Y17" s="3">
        <f t="shared" si="8"/>
        <v>4451662500</v>
      </c>
      <c r="Z17" s="3">
        <f t="shared" si="9"/>
        <v>4229079375</v>
      </c>
    </row>
    <row r="18" spans="1:26" x14ac:dyDescent="0.3">
      <c r="A18" s="14" t="s">
        <v>45</v>
      </c>
      <c r="B18" s="32" t="s">
        <v>13</v>
      </c>
      <c r="C18" s="14" t="s">
        <v>66</v>
      </c>
      <c r="D18" s="14" t="s">
        <v>66</v>
      </c>
      <c r="E18" s="3">
        <v>10739000000</v>
      </c>
      <c r="F18" s="3">
        <v>9609000000</v>
      </c>
      <c r="G18" s="3">
        <v>110000000</v>
      </c>
      <c r="H18" s="3">
        <v>11621000000</v>
      </c>
      <c r="I18" s="3">
        <f t="shared" si="0"/>
        <v>8019750000</v>
      </c>
      <c r="J18" s="3">
        <v>11214000000</v>
      </c>
      <c r="K18" s="4">
        <f t="shared" si="1"/>
        <v>0.39829795193117001</v>
      </c>
      <c r="L18" s="75">
        <v>49247000000</v>
      </c>
      <c r="M18" s="75">
        <v>48005000000</v>
      </c>
      <c r="N18" s="75">
        <v>49330000000</v>
      </c>
      <c r="O18" s="75">
        <v>51904000000</v>
      </c>
      <c r="P18" s="75">
        <f t="shared" si="2"/>
        <v>49621500000</v>
      </c>
      <c r="Q18" s="3">
        <v>49301000000</v>
      </c>
      <c r="R18" s="4">
        <f t="shared" si="3"/>
        <v>0.16161845167921163</v>
      </c>
      <c r="S18" s="4">
        <f t="shared" si="4"/>
        <v>0.22745988925173932</v>
      </c>
      <c r="T18" s="4">
        <f t="shared" si="5"/>
        <v>6.5841437572527695E-2</v>
      </c>
      <c r="U18" s="3">
        <f t="shared" si="6"/>
        <v>3194250000</v>
      </c>
      <c r="V18" s="3">
        <v>6347000000</v>
      </c>
      <c r="W18" s="3">
        <f t="shared" si="11"/>
        <v>507760000</v>
      </c>
      <c r="X18" s="3">
        <f t="shared" si="7"/>
        <v>8126522500</v>
      </c>
      <c r="Y18" s="3">
        <f t="shared" si="8"/>
        <v>3087477500</v>
      </c>
      <c r="Z18" s="3">
        <f t="shared" si="9"/>
        <v>2933103625</v>
      </c>
    </row>
    <row r="19" spans="1:26" x14ac:dyDescent="0.3">
      <c r="A19" s="14" t="s">
        <v>37</v>
      </c>
      <c r="B19" s="14" t="s">
        <v>19</v>
      </c>
      <c r="C19" s="14" t="s">
        <v>66</v>
      </c>
      <c r="D19" s="14" t="s">
        <v>66</v>
      </c>
      <c r="E19" s="3">
        <v>5991000000</v>
      </c>
      <c r="F19" s="3">
        <v>6699000000</v>
      </c>
      <c r="G19" s="3">
        <v>10301000000</v>
      </c>
      <c r="H19" s="3">
        <v>12080000000</v>
      </c>
      <c r="I19" s="3">
        <f t="shared" si="0"/>
        <v>8767750000</v>
      </c>
      <c r="J19" s="75">
        <v>11754000000</v>
      </c>
      <c r="K19" s="4">
        <f t="shared" si="1"/>
        <v>0.34059479341906429</v>
      </c>
      <c r="L19" s="75">
        <v>15082000000</v>
      </c>
      <c r="M19" s="75">
        <v>18358000000</v>
      </c>
      <c r="N19" s="75">
        <v>20609000000</v>
      </c>
      <c r="O19" s="75">
        <v>22977000000</v>
      </c>
      <c r="P19" s="75">
        <f t="shared" si="2"/>
        <v>19256500000</v>
      </c>
      <c r="Q19" s="75">
        <v>22882000000</v>
      </c>
      <c r="R19" s="4">
        <f t="shared" si="3"/>
        <v>0.45531379014878093</v>
      </c>
      <c r="S19" s="4">
        <f t="shared" si="4"/>
        <v>0.51367887422428105</v>
      </c>
      <c r="T19" s="4">
        <f t="shared" si="5"/>
        <v>5.8365084075500118E-2</v>
      </c>
      <c r="U19" s="3">
        <f t="shared" si="6"/>
        <v>2986250000</v>
      </c>
      <c r="V19" s="3">
        <v>0</v>
      </c>
      <c r="W19" s="3">
        <f t="shared" si="11"/>
        <v>0</v>
      </c>
      <c r="X19" s="3">
        <f t="shared" si="7"/>
        <v>8329362500</v>
      </c>
      <c r="Y19" s="3">
        <f t="shared" si="8"/>
        <v>3424637500</v>
      </c>
      <c r="Z19" s="3">
        <f t="shared" si="9"/>
        <v>3253405625</v>
      </c>
    </row>
    <row r="20" spans="1:26" x14ac:dyDescent="0.3">
      <c r="A20" s="14" t="s">
        <v>50</v>
      </c>
      <c r="B20" s="14" t="s">
        <v>17</v>
      </c>
      <c r="C20" s="14" t="s">
        <v>66</v>
      </c>
      <c r="D20" s="14" t="s">
        <v>66</v>
      </c>
      <c r="E20" s="3">
        <v>7957000000</v>
      </c>
      <c r="F20" s="3">
        <v>8630000000</v>
      </c>
      <c r="G20" s="3">
        <v>11121000000</v>
      </c>
      <c r="H20" s="3">
        <v>11242000000</v>
      </c>
      <c r="I20" s="3">
        <f t="shared" si="0"/>
        <v>9737500000</v>
      </c>
      <c r="J20" s="3">
        <v>11827000000</v>
      </c>
      <c r="K20" s="4">
        <f t="shared" si="1"/>
        <v>0.21458279845956363</v>
      </c>
      <c r="L20" s="75">
        <v>88519000000</v>
      </c>
      <c r="M20" s="75">
        <v>94595000000</v>
      </c>
      <c r="N20" s="75">
        <v>100904000000</v>
      </c>
      <c r="O20" s="75">
        <v>108203000000</v>
      </c>
      <c r="P20" s="75">
        <f t="shared" si="2"/>
        <v>98055250000</v>
      </c>
      <c r="Q20" s="3">
        <v>119318000000</v>
      </c>
      <c r="R20" s="4">
        <f t="shared" si="3"/>
        <v>9.930625846142864E-2</v>
      </c>
      <c r="S20" s="4">
        <f t="shared" si="4"/>
        <v>9.9121674852075958E-2</v>
      </c>
      <c r="T20" s="4">
        <f t="shared" si="5"/>
        <v>-1.8458360935268148E-4</v>
      </c>
      <c r="U20" s="3">
        <f t="shared" si="6"/>
        <v>2089500000</v>
      </c>
      <c r="V20" s="3">
        <v>0</v>
      </c>
      <c r="W20" s="3">
        <f t="shared" si="11"/>
        <v>0</v>
      </c>
      <c r="X20" s="3">
        <f t="shared" si="7"/>
        <v>9250625000</v>
      </c>
      <c r="Y20" s="3">
        <f t="shared" si="8"/>
        <v>2576375000</v>
      </c>
      <c r="Z20" s="3">
        <f t="shared" si="9"/>
        <v>2447556250</v>
      </c>
    </row>
    <row r="21" spans="1:26" x14ac:dyDescent="0.3">
      <c r="A21" s="14" t="s">
        <v>52</v>
      </c>
      <c r="B21" s="14" t="s">
        <v>18</v>
      </c>
      <c r="C21" s="14" t="s">
        <v>66</v>
      </c>
      <c r="D21" s="14" t="s">
        <v>120</v>
      </c>
      <c r="E21" s="3">
        <v>10508000000</v>
      </c>
      <c r="F21" s="3">
        <v>15326000000</v>
      </c>
      <c r="G21" s="3">
        <v>9750000000</v>
      </c>
      <c r="H21" s="3">
        <v>3897000000</v>
      </c>
      <c r="I21" s="3">
        <f t="shared" si="0"/>
        <v>9870250000</v>
      </c>
      <c r="J21" s="3">
        <v>13027000000</v>
      </c>
      <c r="K21" s="4">
        <f t="shared" si="1"/>
        <v>0.31982472581748178</v>
      </c>
      <c r="L21" s="75">
        <v>65299000000</v>
      </c>
      <c r="M21" s="75">
        <v>65058000000</v>
      </c>
      <c r="N21" s="75">
        <v>66832000000</v>
      </c>
      <c r="O21" s="75">
        <v>67684000000</v>
      </c>
      <c r="P21" s="75">
        <f t="shared" si="2"/>
        <v>66218250000</v>
      </c>
      <c r="Q21" s="3">
        <v>70950000000</v>
      </c>
      <c r="R21" s="4">
        <f t="shared" si="3"/>
        <v>0.14905634020832625</v>
      </c>
      <c r="S21" s="4">
        <f t="shared" si="4"/>
        <v>0.18360817477096547</v>
      </c>
      <c r="T21" s="4">
        <f t="shared" si="5"/>
        <v>3.4551834562639216E-2</v>
      </c>
      <c r="U21" s="3">
        <f t="shared" si="6"/>
        <v>3156750000</v>
      </c>
      <c r="V21" s="3">
        <v>0</v>
      </c>
      <c r="W21" s="3">
        <f t="shared" si="11"/>
        <v>0</v>
      </c>
      <c r="X21" s="3">
        <f t="shared" si="7"/>
        <v>9376737500</v>
      </c>
      <c r="Y21" s="3">
        <f t="shared" si="8"/>
        <v>3650262500</v>
      </c>
      <c r="Z21" s="3">
        <f t="shared" si="9"/>
        <v>3467749375</v>
      </c>
    </row>
    <row r="22" spans="1:26" x14ac:dyDescent="0.3">
      <c r="A22" s="14" t="s">
        <v>57</v>
      </c>
      <c r="B22" s="32" t="s">
        <v>17</v>
      </c>
      <c r="C22" s="14" t="s">
        <v>66</v>
      </c>
      <c r="D22" s="14" t="s">
        <v>120</v>
      </c>
      <c r="E22" s="3">
        <v>2371000000</v>
      </c>
      <c r="F22" s="3">
        <v>3033000000</v>
      </c>
      <c r="G22" s="3">
        <v>10073000000</v>
      </c>
      <c r="H22" s="3">
        <v>11588000000</v>
      </c>
      <c r="I22" s="3">
        <f t="shared" si="0"/>
        <v>6766250000</v>
      </c>
      <c r="J22" s="3">
        <v>13180000000</v>
      </c>
      <c r="K22" s="4">
        <f t="shared" si="1"/>
        <v>0.94790319600960649</v>
      </c>
      <c r="L22" s="75">
        <v>135987000000</v>
      </c>
      <c r="M22" s="75">
        <v>177866000000</v>
      </c>
      <c r="N22" s="75">
        <v>232887000000</v>
      </c>
      <c r="O22" s="75">
        <v>280522000000</v>
      </c>
      <c r="P22" s="75">
        <f t="shared" si="2"/>
        <v>206815500000</v>
      </c>
      <c r="Q22" s="3">
        <v>321782000000</v>
      </c>
      <c r="R22" s="4">
        <f t="shared" si="3"/>
        <v>3.2716358300030703E-2</v>
      </c>
      <c r="S22" s="4">
        <f t="shared" si="4"/>
        <v>4.0959407300594809E-2</v>
      </c>
      <c r="T22" s="4">
        <f t="shared" si="5"/>
        <v>8.2430490005641066E-3</v>
      </c>
      <c r="U22" s="3">
        <f t="shared" si="6"/>
        <v>6413750000</v>
      </c>
      <c r="V22" s="3">
        <v>38119000000</v>
      </c>
      <c r="W22" s="3">
        <f t="shared" si="11"/>
        <v>3049520000</v>
      </c>
      <c r="X22" s="3">
        <f t="shared" si="7"/>
        <v>9477457500</v>
      </c>
      <c r="Y22" s="3">
        <f t="shared" si="8"/>
        <v>3702542500</v>
      </c>
      <c r="Z22" s="3">
        <f t="shared" si="9"/>
        <v>3517415375</v>
      </c>
    </row>
    <row r="23" spans="1:26" x14ac:dyDescent="0.3">
      <c r="A23" s="14" t="s">
        <v>146</v>
      </c>
      <c r="B23" s="32" t="s">
        <v>24</v>
      </c>
      <c r="C23" s="32" t="s">
        <v>81</v>
      </c>
      <c r="D23" s="32" t="s">
        <v>120</v>
      </c>
      <c r="E23" s="3">
        <v>9427200000</v>
      </c>
      <c r="F23" s="3">
        <v>8858400000</v>
      </c>
      <c r="G23" s="3">
        <v>10671200000</v>
      </c>
      <c r="H23" s="3">
        <v>13936100000</v>
      </c>
      <c r="I23" s="3">
        <f t="shared" si="0"/>
        <v>10723225000</v>
      </c>
      <c r="J23" s="3">
        <v>13681000000</v>
      </c>
      <c r="K23" s="4">
        <f t="shared" si="1"/>
        <v>0.27582886678214802</v>
      </c>
      <c r="L23" s="75">
        <v>51818000000</v>
      </c>
      <c r="M23" s="75">
        <v>57201000000</v>
      </c>
      <c r="N23" s="75">
        <v>60467000000</v>
      </c>
      <c r="O23" s="75">
        <v>65825000000</v>
      </c>
      <c r="P23" s="75">
        <f t="shared" si="2"/>
        <v>58827750000</v>
      </c>
      <c r="Q23" s="75">
        <v>65865000000</v>
      </c>
      <c r="R23" s="4">
        <f t="shared" si="3"/>
        <v>0.18228174628470406</v>
      </c>
      <c r="S23" s="4">
        <f t="shared" si="4"/>
        <v>0.2077127457678585</v>
      </c>
      <c r="T23" s="4">
        <f t="shared" si="5"/>
        <v>2.5430999483154443E-2</v>
      </c>
      <c r="U23" s="3">
        <f t="shared" si="6"/>
        <v>2957775000</v>
      </c>
      <c r="V23" s="3">
        <v>12878000000</v>
      </c>
      <c r="W23" s="3">
        <f t="shared" si="11"/>
        <v>1030240000</v>
      </c>
      <c r="X23" s="3">
        <f t="shared" si="7"/>
        <v>11217303750</v>
      </c>
      <c r="Y23" s="3">
        <f t="shared" si="8"/>
        <v>2463696250</v>
      </c>
      <c r="Z23" s="3">
        <f t="shared" si="9"/>
        <v>2340511437.5</v>
      </c>
    </row>
    <row r="24" spans="1:26" x14ac:dyDescent="0.3">
      <c r="A24" s="14" t="s">
        <v>39</v>
      </c>
      <c r="B24" s="14" t="s">
        <v>24</v>
      </c>
      <c r="C24" s="14" t="s">
        <v>66</v>
      </c>
      <c r="D24" s="14" t="s">
        <v>120</v>
      </c>
      <c r="E24" s="3">
        <v>7215000000</v>
      </c>
      <c r="F24" s="3">
        <v>21308000000</v>
      </c>
      <c r="G24" s="3">
        <v>11153000000</v>
      </c>
      <c r="H24" s="3">
        <v>16273000000</v>
      </c>
      <c r="I24" s="3">
        <f t="shared" si="0"/>
        <v>13987250000</v>
      </c>
      <c r="J24" s="3">
        <v>14172000000</v>
      </c>
      <c r="K24" s="4">
        <f t="shared" si="1"/>
        <v>1.3208457702550636E-2</v>
      </c>
      <c r="L24" s="75">
        <v>52824000000</v>
      </c>
      <c r="M24" s="75">
        <v>52546000000</v>
      </c>
      <c r="N24" s="75">
        <v>53647000000</v>
      </c>
      <c r="O24" s="75">
        <v>51750000000</v>
      </c>
      <c r="P24" s="75">
        <f t="shared" si="2"/>
        <v>52691750000</v>
      </c>
      <c r="Q24" s="3">
        <v>49197000000</v>
      </c>
      <c r="R24" s="4">
        <f t="shared" si="3"/>
        <v>0.26545426940650102</v>
      </c>
      <c r="S24" s="4">
        <f t="shared" si="4"/>
        <v>0.2880663455088725</v>
      </c>
      <c r="T24" s="4">
        <f t="shared" si="5"/>
        <v>2.2612076102371481E-2</v>
      </c>
      <c r="U24" s="3">
        <f t="shared" si="6"/>
        <v>184750000</v>
      </c>
      <c r="V24" s="3">
        <v>8089000000</v>
      </c>
      <c r="W24" s="3">
        <f t="shared" si="11"/>
        <v>647120000</v>
      </c>
      <c r="X24" s="3">
        <f t="shared" si="7"/>
        <v>13935007500</v>
      </c>
      <c r="Y24" s="3">
        <f t="shared" si="8"/>
        <v>236992500</v>
      </c>
      <c r="Z24" s="3">
        <f t="shared" si="9"/>
        <v>225142875</v>
      </c>
    </row>
    <row r="25" spans="1:26" x14ac:dyDescent="0.3">
      <c r="A25" s="14" t="s">
        <v>145</v>
      </c>
      <c r="B25" s="32" t="s">
        <v>18</v>
      </c>
      <c r="C25" s="32" t="s">
        <v>81</v>
      </c>
      <c r="D25" s="32" t="s">
        <v>120</v>
      </c>
      <c r="E25" s="3">
        <v>8398500000</v>
      </c>
      <c r="F25" s="3">
        <v>7342800000</v>
      </c>
      <c r="G25" s="3">
        <v>10300200000</v>
      </c>
      <c r="H25" s="3">
        <v>13019200000</v>
      </c>
      <c r="I25" s="3">
        <f t="shared" si="0"/>
        <v>9765175000</v>
      </c>
      <c r="J25" s="3">
        <v>14275800000</v>
      </c>
      <c r="K25" s="4">
        <f t="shared" si="1"/>
        <v>0.46190928477984272</v>
      </c>
      <c r="L25" s="3">
        <v>88391000000</v>
      </c>
      <c r="M25" s="3">
        <v>92269000000</v>
      </c>
      <c r="N25" s="3">
        <v>93245700000</v>
      </c>
      <c r="O25" s="3">
        <v>95886400000</v>
      </c>
      <c r="P25" s="75">
        <f t="shared" si="2"/>
        <v>92448025000</v>
      </c>
      <c r="Q25" s="75">
        <v>93504100000</v>
      </c>
      <c r="R25" s="4">
        <f t="shared" si="3"/>
        <v>0.10562881143215336</v>
      </c>
      <c r="S25" s="4">
        <f t="shared" si="4"/>
        <v>0.15267565807274761</v>
      </c>
      <c r="T25" s="4">
        <f t="shared" si="5"/>
        <v>4.7046846640594248E-2</v>
      </c>
      <c r="U25" s="3">
        <f t="shared" si="6"/>
        <v>4510625000</v>
      </c>
      <c r="V25" s="3">
        <v>1695800000</v>
      </c>
      <c r="W25" s="3">
        <f t="shared" si="11"/>
        <v>135664000</v>
      </c>
      <c r="X25" s="3">
        <f t="shared" si="7"/>
        <v>9412580250</v>
      </c>
      <c r="Y25" s="3">
        <f t="shared" si="8"/>
        <v>4863219750</v>
      </c>
      <c r="Z25" s="3">
        <f t="shared" si="9"/>
        <v>4620058762.5</v>
      </c>
    </row>
    <row r="26" spans="1:26" x14ac:dyDescent="0.3">
      <c r="A26" s="14" t="s">
        <v>47</v>
      </c>
      <c r="B26" s="14" t="s">
        <v>24</v>
      </c>
      <c r="C26" s="14" t="s">
        <v>66</v>
      </c>
      <c r="D26" s="14" t="s">
        <v>120</v>
      </c>
      <c r="E26" s="3">
        <v>16540000000</v>
      </c>
      <c r="F26" s="3">
        <v>1300000000</v>
      </c>
      <c r="G26" s="3">
        <v>15297000000</v>
      </c>
      <c r="H26" s="3">
        <v>15119000000</v>
      </c>
      <c r="I26" s="3">
        <f t="shared" si="0"/>
        <v>12064000000</v>
      </c>
      <c r="J26" s="3">
        <v>15185000000</v>
      </c>
      <c r="K26" s="4">
        <f t="shared" si="1"/>
        <v>0.25870358090185674</v>
      </c>
      <c r="L26" s="75">
        <v>71890000000</v>
      </c>
      <c r="M26" s="75">
        <v>76450000000</v>
      </c>
      <c r="N26" s="75">
        <v>81581000000</v>
      </c>
      <c r="O26" s="75">
        <v>82059000000</v>
      </c>
      <c r="P26" s="75">
        <f t="shared" si="2"/>
        <v>77995000000</v>
      </c>
      <c r="Q26" s="3">
        <v>80503000000</v>
      </c>
      <c r="R26" s="4">
        <f t="shared" si="3"/>
        <v>0.15467658183216873</v>
      </c>
      <c r="S26" s="4">
        <f t="shared" si="4"/>
        <v>0.18862651081326162</v>
      </c>
      <c r="T26" s="4">
        <f t="shared" si="5"/>
        <v>3.3949928981092892E-2</v>
      </c>
      <c r="U26" s="3">
        <f t="shared" si="6"/>
        <v>3121000000</v>
      </c>
      <c r="V26" s="3">
        <v>11118000000</v>
      </c>
      <c r="W26" s="3">
        <f t="shared" si="11"/>
        <v>889440000</v>
      </c>
      <c r="X26" s="3">
        <f t="shared" si="7"/>
        <v>12350240000</v>
      </c>
      <c r="Y26" s="3">
        <f t="shared" si="8"/>
        <v>2834760000</v>
      </c>
      <c r="Z26" s="3">
        <f t="shared" si="9"/>
        <v>2693022000</v>
      </c>
    </row>
    <row r="27" spans="1:26" x14ac:dyDescent="0.3">
      <c r="A27" s="14" t="s">
        <v>53</v>
      </c>
      <c r="B27" s="14" t="s">
        <v>15</v>
      </c>
      <c r="C27" s="14" t="s">
        <v>66</v>
      </c>
      <c r="D27" s="14" t="s">
        <v>66</v>
      </c>
      <c r="E27" s="3">
        <v>7017000000</v>
      </c>
      <c r="F27" s="3">
        <v>10558000000</v>
      </c>
      <c r="G27" s="3">
        <v>11986000000</v>
      </c>
      <c r="H27" s="3">
        <v>13839000000</v>
      </c>
      <c r="I27" s="3">
        <f t="shared" si="0"/>
        <v>10850000000</v>
      </c>
      <c r="J27" s="3">
        <v>17098000000</v>
      </c>
      <c r="K27" s="4">
        <f t="shared" si="1"/>
        <v>0.57585253456221208</v>
      </c>
      <c r="L27" s="75">
        <v>184012000000</v>
      </c>
      <c r="M27" s="75">
        <v>200136000000</v>
      </c>
      <c r="N27" s="75">
        <v>224871000000</v>
      </c>
      <c r="O27" s="75">
        <v>240269000000</v>
      </c>
      <c r="P27" s="75">
        <f t="shared" si="2"/>
        <v>212322000000</v>
      </c>
      <c r="Q27" s="75">
        <v>247811000000</v>
      </c>
      <c r="R27" s="4">
        <f t="shared" si="3"/>
        <v>5.1101628658358531E-2</v>
      </c>
      <c r="S27" s="4">
        <f t="shared" si="4"/>
        <v>6.8996130115289475E-2</v>
      </c>
      <c r="T27" s="4">
        <f t="shared" si="5"/>
        <v>1.7894501456930945E-2</v>
      </c>
      <c r="U27" s="3">
        <f t="shared" si="6"/>
        <v>6248000000</v>
      </c>
      <c r="V27" s="3">
        <v>0</v>
      </c>
      <c r="W27" s="3">
        <f t="shared" si="11"/>
        <v>0</v>
      </c>
      <c r="X27" s="3">
        <f t="shared" si="7"/>
        <v>10307500000</v>
      </c>
      <c r="Y27" s="3">
        <f t="shared" si="8"/>
        <v>6790500000</v>
      </c>
      <c r="Z27" s="3">
        <f t="shared" si="9"/>
        <v>6450975000</v>
      </c>
    </row>
    <row r="28" spans="1:26" x14ac:dyDescent="0.3">
      <c r="A28" s="14" t="s">
        <v>59</v>
      </c>
      <c r="B28" s="14" t="s">
        <v>17</v>
      </c>
      <c r="C28" s="14" t="s">
        <v>66</v>
      </c>
      <c r="D28" s="14" t="s">
        <v>120</v>
      </c>
      <c r="E28" s="3">
        <v>14694000000</v>
      </c>
      <c r="F28" s="3">
        <v>13643000000</v>
      </c>
      <c r="G28" s="3">
        <v>9862000000</v>
      </c>
      <c r="H28" s="3">
        <v>6670000000</v>
      </c>
      <c r="I28" s="3">
        <f t="shared" si="0"/>
        <v>11217250000</v>
      </c>
      <c r="J28" s="3">
        <v>17895000000</v>
      </c>
      <c r="K28" s="4">
        <f t="shared" si="1"/>
        <v>0.59531079364371831</v>
      </c>
      <c r="L28" s="75">
        <v>482130000000</v>
      </c>
      <c r="M28" s="75">
        <v>485873000000</v>
      </c>
      <c r="N28" s="75">
        <v>500343000000</v>
      </c>
      <c r="O28" s="75">
        <v>514405000000</v>
      </c>
      <c r="P28" s="75">
        <f t="shared" si="2"/>
        <v>495687750000</v>
      </c>
      <c r="Q28" s="3">
        <v>542026000000</v>
      </c>
      <c r="R28" s="4">
        <f t="shared" si="3"/>
        <v>2.2629669585338755E-2</v>
      </c>
      <c r="S28" s="4">
        <f t="shared" si="4"/>
        <v>3.3015021419636699E-2</v>
      </c>
      <c r="T28" s="4">
        <f t="shared" si="5"/>
        <v>1.0385351834297944E-2</v>
      </c>
      <c r="U28" s="3">
        <f t="shared" si="6"/>
        <v>6677750000</v>
      </c>
      <c r="V28" s="3">
        <v>0</v>
      </c>
      <c r="W28" s="3">
        <f t="shared" si="11"/>
        <v>0</v>
      </c>
      <c r="X28" s="3">
        <f t="shared" si="7"/>
        <v>10656387500</v>
      </c>
      <c r="Y28" s="3">
        <f t="shared" si="8"/>
        <v>7238612500</v>
      </c>
      <c r="Z28" s="3">
        <f t="shared" si="9"/>
        <v>6876681875</v>
      </c>
    </row>
    <row r="29" spans="1:26" x14ac:dyDescent="0.3">
      <c r="A29" s="14" t="s">
        <v>41</v>
      </c>
      <c r="B29" s="32" t="s">
        <v>13</v>
      </c>
      <c r="C29" s="14" t="s">
        <v>66</v>
      </c>
      <c r="D29" s="14" t="s">
        <v>66</v>
      </c>
      <c r="E29" s="3">
        <v>10217000000</v>
      </c>
      <c r="F29" s="3">
        <v>15934000000</v>
      </c>
      <c r="G29" s="3">
        <v>22112000000</v>
      </c>
      <c r="H29" s="3">
        <v>18485000000</v>
      </c>
      <c r="I29" s="3">
        <f t="shared" si="0"/>
        <v>16687000000</v>
      </c>
      <c r="J29" s="3">
        <v>23521000000</v>
      </c>
      <c r="K29" s="4">
        <f t="shared" si="1"/>
        <v>0.40954036075987288</v>
      </c>
      <c r="L29" s="75">
        <v>27638000000</v>
      </c>
      <c r="M29" s="75">
        <v>40653000000</v>
      </c>
      <c r="N29" s="75">
        <v>55838000000</v>
      </c>
      <c r="O29" s="75">
        <v>70697000000</v>
      </c>
      <c r="P29" s="75">
        <f t="shared" si="2"/>
        <v>48706500000</v>
      </c>
      <c r="Q29" s="3">
        <v>75157000000</v>
      </c>
      <c r="R29" s="4">
        <f t="shared" si="3"/>
        <v>0.34260314331762703</v>
      </c>
      <c r="S29" s="4">
        <f t="shared" si="4"/>
        <v>0.31295820748566333</v>
      </c>
      <c r="T29" s="4">
        <f t="shared" si="5"/>
        <v>-2.9644935831963704E-2</v>
      </c>
      <c r="U29" s="3">
        <f t="shared" si="6"/>
        <v>6834000000</v>
      </c>
      <c r="V29" s="3">
        <v>15902000000</v>
      </c>
      <c r="W29" s="3">
        <f t="shared" si="11"/>
        <v>1272160000</v>
      </c>
      <c r="X29" s="3">
        <f t="shared" si="7"/>
        <v>17124810000</v>
      </c>
      <c r="Y29" s="3">
        <f t="shared" si="8"/>
        <v>6396190000</v>
      </c>
      <c r="Z29" s="3">
        <f t="shared" si="9"/>
        <v>6076380500</v>
      </c>
    </row>
    <row r="30" spans="1:26" x14ac:dyDescent="0.3">
      <c r="A30" s="14" t="s">
        <v>40</v>
      </c>
      <c r="B30" s="32" t="s">
        <v>13</v>
      </c>
      <c r="C30" s="14" t="s">
        <v>66</v>
      </c>
      <c r="D30" s="14" t="s">
        <v>120</v>
      </c>
      <c r="E30" s="3">
        <v>10316000000</v>
      </c>
      <c r="F30" s="3">
        <v>9601000000</v>
      </c>
      <c r="G30" s="3">
        <v>21053000000</v>
      </c>
      <c r="H30" s="3">
        <v>21048000000</v>
      </c>
      <c r="I30" s="3">
        <f t="shared" si="0"/>
        <v>15504500000</v>
      </c>
      <c r="J30" s="3">
        <v>23661000000</v>
      </c>
      <c r="K30" s="4">
        <f t="shared" si="1"/>
        <v>0.52607307555870886</v>
      </c>
      <c r="L30" s="75">
        <v>59387000000</v>
      </c>
      <c r="M30" s="75">
        <v>62761000000</v>
      </c>
      <c r="N30" s="75">
        <v>70848000000</v>
      </c>
      <c r="O30" s="75">
        <v>71965000000</v>
      </c>
      <c r="P30" s="75">
        <f t="shared" si="2"/>
        <v>66240250000</v>
      </c>
      <c r="Q30" s="3">
        <v>78955000000</v>
      </c>
      <c r="R30" s="4">
        <f t="shared" si="3"/>
        <v>0.23406463592755161</v>
      </c>
      <c r="S30" s="4">
        <f t="shared" si="4"/>
        <v>0.29967703122031536</v>
      </c>
      <c r="T30" s="4">
        <f t="shared" si="5"/>
        <v>6.5612395292763748E-2</v>
      </c>
      <c r="U30" s="3">
        <f t="shared" si="6"/>
        <v>8156500000</v>
      </c>
      <c r="V30" s="3">
        <v>13221000000</v>
      </c>
      <c r="W30" s="3">
        <f t="shared" si="11"/>
        <v>1057680000</v>
      </c>
      <c r="X30" s="3">
        <f t="shared" si="7"/>
        <v>15786955000</v>
      </c>
      <c r="Y30" s="3">
        <f t="shared" si="8"/>
        <v>7874045000</v>
      </c>
      <c r="Z30" s="3">
        <f t="shared" si="9"/>
        <v>7480342750</v>
      </c>
    </row>
    <row r="31" spans="1:26" x14ac:dyDescent="0.3">
      <c r="A31" s="14" t="s">
        <v>61</v>
      </c>
      <c r="B31" s="32" t="s">
        <v>13</v>
      </c>
      <c r="C31" s="14" t="s">
        <v>66</v>
      </c>
      <c r="D31" s="14" t="s">
        <v>120</v>
      </c>
      <c r="E31" s="3">
        <v>19478000000</v>
      </c>
      <c r="F31" s="3">
        <v>12662000000</v>
      </c>
      <c r="G31" s="3">
        <v>30736000000</v>
      </c>
      <c r="H31" s="3">
        <v>34343000000.000004</v>
      </c>
      <c r="I31" s="3">
        <f t="shared" si="0"/>
        <v>24304750000</v>
      </c>
      <c r="J31" s="3">
        <v>31534000000</v>
      </c>
      <c r="K31" s="4">
        <f t="shared" si="1"/>
        <v>0.29744185807301049</v>
      </c>
      <c r="L31" s="75">
        <v>90272000000</v>
      </c>
      <c r="M31" s="75">
        <v>110855000000</v>
      </c>
      <c r="N31" s="75">
        <v>136819000000</v>
      </c>
      <c r="O31" s="75">
        <v>161857000000</v>
      </c>
      <c r="P31" s="75">
        <f t="shared" si="2"/>
        <v>124950750000</v>
      </c>
      <c r="Q31" s="3">
        <v>166030000000</v>
      </c>
      <c r="R31" s="4">
        <f t="shared" si="3"/>
        <v>0.19451463876767447</v>
      </c>
      <c r="S31" s="4">
        <f t="shared" si="4"/>
        <v>0.18992953080768535</v>
      </c>
      <c r="T31" s="4">
        <f t="shared" si="5"/>
        <v>-4.5851079599891209E-3</v>
      </c>
      <c r="U31" s="3">
        <f t="shared" si="6"/>
        <v>7229250000</v>
      </c>
      <c r="V31" s="3">
        <v>27471000000</v>
      </c>
      <c r="W31" s="3">
        <f t="shared" si="11"/>
        <v>2197680000</v>
      </c>
      <c r="X31" s="3">
        <f t="shared" si="7"/>
        <v>25287192500</v>
      </c>
      <c r="Y31" s="3">
        <f t="shared" si="8"/>
        <v>6246807500</v>
      </c>
      <c r="Z31" s="3">
        <f t="shared" si="9"/>
        <v>5934467125</v>
      </c>
    </row>
    <row r="32" spans="1:26" x14ac:dyDescent="0.3">
      <c r="A32" s="14" t="s">
        <v>38</v>
      </c>
      <c r="B32" s="32" t="s">
        <v>13</v>
      </c>
      <c r="C32" s="14" t="s">
        <v>66</v>
      </c>
      <c r="D32" s="14" t="s">
        <v>120</v>
      </c>
      <c r="E32" s="3">
        <v>20539000000</v>
      </c>
      <c r="F32" s="3">
        <v>25489000000</v>
      </c>
      <c r="G32" s="3">
        <v>16571000000</v>
      </c>
      <c r="H32" s="3">
        <v>39240000000</v>
      </c>
      <c r="I32" s="3">
        <f t="shared" si="0"/>
        <v>25459750000</v>
      </c>
      <c r="J32" s="3">
        <v>44281000000</v>
      </c>
      <c r="K32" s="4">
        <f t="shared" si="1"/>
        <v>0.73925509873427675</v>
      </c>
      <c r="L32" s="75">
        <v>85320000000</v>
      </c>
      <c r="M32" s="75">
        <v>89950000000</v>
      </c>
      <c r="N32" s="75">
        <v>110360000000</v>
      </c>
      <c r="O32" s="75">
        <v>125843000000</v>
      </c>
      <c r="P32" s="75">
        <f t="shared" si="2"/>
        <v>102868250000</v>
      </c>
      <c r="Q32" s="3">
        <v>143015000000</v>
      </c>
      <c r="R32" s="4">
        <f t="shared" si="3"/>
        <v>0.24749862080865573</v>
      </c>
      <c r="S32" s="4">
        <f t="shared" si="4"/>
        <v>0.30962486452470023</v>
      </c>
      <c r="T32" s="4">
        <f t="shared" si="5"/>
        <v>6.2126243716044499E-2</v>
      </c>
      <c r="U32" s="3">
        <f t="shared" si="6"/>
        <v>18821250000</v>
      </c>
      <c r="V32" s="3">
        <v>19269000000</v>
      </c>
      <c r="W32" s="3">
        <f t="shared" si="11"/>
        <v>1541520000</v>
      </c>
      <c r="X32" s="3">
        <f t="shared" si="7"/>
        <v>25728282500</v>
      </c>
      <c r="Y32" s="3">
        <f t="shared" si="8"/>
        <v>18552717500</v>
      </c>
      <c r="Z32" s="3">
        <f t="shared" si="9"/>
        <v>17625081625</v>
      </c>
    </row>
    <row r="33" spans="1:26" x14ac:dyDescent="0.3">
      <c r="A33" s="14" t="s">
        <v>44</v>
      </c>
      <c r="B33" s="32" t="s">
        <v>13</v>
      </c>
      <c r="C33" s="14" t="s">
        <v>66</v>
      </c>
      <c r="D33" s="14" t="s">
        <v>120</v>
      </c>
      <c r="E33" s="3">
        <v>45687000000</v>
      </c>
      <c r="F33" s="3">
        <v>48351000000</v>
      </c>
      <c r="G33" s="3">
        <v>59531000000</v>
      </c>
      <c r="H33" s="3">
        <v>55256000000</v>
      </c>
      <c r="I33" s="3">
        <f t="shared" si="0"/>
        <v>52206250000</v>
      </c>
      <c r="J33" s="3">
        <v>58424000000</v>
      </c>
      <c r="K33" s="4">
        <f t="shared" si="1"/>
        <v>0.11909972464982643</v>
      </c>
      <c r="L33" s="75">
        <v>215639000000</v>
      </c>
      <c r="M33" s="75">
        <v>229234000000</v>
      </c>
      <c r="N33" s="75">
        <v>265595000000</v>
      </c>
      <c r="O33" s="75">
        <v>260174000000</v>
      </c>
      <c r="P33" s="75">
        <f t="shared" si="2"/>
        <v>242660500000</v>
      </c>
      <c r="Q33" s="3">
        <v>273857000000</v>
      </c>
      <c r="R33" s="4">
        <f t="shared" si="3"/>
        <v>0.21514111278926731</v>
      </c>
      <c r="S33" s="4">
        <f t="shared" si="4"/>
        <v>0.21333761780783403</v>
      </c>
      <c r="T33" s="4">
        <f t="shared" si="5"/>
        <v>-1.8034949814332846E-3</v>
      </c>
      <c r="U33" s="3">
        <f t="shared" si="6"/>
        <v>6217750000</v>
      </c>
      <c r="V33" s="3">
        <v>17884000000</v>
      </c>
      <c r="W33" s="3">
        <f t="shared" si="11"/>
        <v>1430720000</v>
      </c>
      <c r="X33" s="3">
        <f t="shared" si="7"/>
        <v>51026657500</v>
      </c>
      <c r="Y33" s="3">
        <f t="shared" si="8"/>
        <v>7397342500</v>
      </c>
      <c r="Z33" s="3">
        <f t="shared" si="9"/>
        <v>7027475375</v>
      </c>
    </row>
    <row r="34" spans="1:26" x14ac:dyDescent="0.3">
      <c r="A34" s="14"/>
      <c r="E34" s="3"/>
      <c r="F34" s="3"/>
      <c r="G34" s="3"/>
      <c r="H34" s="3"/>
      <c r="I34" s="3"/>
    </row>
    <row r="38" spans="1:26" x14ac:dyDescent="0.3">
      <c r="A38" s="32" t="s">
        <v>213</v>
      </c>
      <c r="E38" s="75">
        <f>SUM(E2:E33)</f>
        <v>250578400000</v>
      </c>
      <c r="F38" s="75">
        <f>SUM(F2:F33)</f>
        <v>279868500000</v>
      </c>
      <c r="G38" s="75">
        <f>SUM(G2:G33)</f>
        <v>308750400000</v>
      </c>
      <c r="H38" s="75">
        <f>SUM(H2:H33)</f>
        <v>377212700000</v>
      </c>
      <c r="I38" s="3">
        <f t="shared" ref="I38" si="12">AVERAGE(E38:H38)</f>
        <v>304102500000</v>
      </c>
      <c r="J38" s="75">
        <f>SUM(J2:J33)</f>
        <v>413270300000</v>
      </c>
      <c r="K38" s="4">
        <f>(J38/I38)-1</f>
        <v>0.35898356639619866</v>
      </c>
      <c r="Y38" s="3">
        <f>Y30+Y16+Y10</f>
        <v>10440437500</v>
      </c>
    </row>
  </sheetData>
  <autoFilter ref="A1:Z33" xr:uid="{2B63863E-E6BE-4054-AC8F-B920A56EDE9B}">
    <sortState ref="A2:Z33">
      <sortCondition ref="J1:J33"/>
    </sortState>
  </autoFilter>
  <hyperlinks>
    <hyperlink ref="V24" r:id="rId1" tooltip="R &amp; D Exp._x000a_ FY: 2019_x000a_ Period End Date: Dec-31-2019_x000a_ Filing Date: Feb-27-2020_x000a_ Period Type: Annual_x000a_ Value: 7,984.0, Currency: USD, Millions" display="javascript:void(0);" xr:uid="{E278F202-E83E-422F-A0B7-F69ACA8DE61A}"/>
    <hyperlink ref="V17" r:id="rId2" tooltip="R &amp; D Exp._x000a_ FY: 2019_x000a_ Period End Date: Dec-31-2019_x000a_ Filing Date: Feb-26-2020_x000a_ Period Type: Annual_x000a_ Value: 8,742.0, Currency: USD, Millions" display="javascript:void(0);" xr:uid="{DB38E2B9-E6D5-49F9-AC67-5EDC942ADF2B}"/>
    <hyperlink ref="V12" r:id="rId3" tooltip="R &amp; D Exp._x000a_ FY: 2019_x000a_ Period End Date: Dec-31-2019_x000a_ Filing Date: Feb-21-2020_x000a_ Period Type: Annual_x000a_ Value: 5,377.0, Currency: USD, Millions" display="javascript:void(0);" xr:uid="{A25F97FE-9FA9-450E-AD6D-1E597E30BDEF}"/>
  </hyperlinks>
  <pageMargins left="0.7" right="0.7" top="0.75" bottom="0.75" header="0.3" footer="0.3"/>
  <pageSetup orientation="portrait" horizontalDpi="4294967293" verticalDpi="4294967295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8D1C-878D-43B9-BA40-DCEBD19711DC}">
  <dimension ref="A1:E13"/>
  <sheetViews>
    <sheetView zoomScale="70" zoomScaleNormal="70" workbookViewId="0">
      <selection activeCell="D6" sqref="D6"/>
    </sheetView>
  </sheetViews>
  <sheetFormatPr defaultColWidth="9.21875" defaultRowHeight="14.4" x14ac:dyDescent="0.3"/>
  <cols>
    <col min="1" max="1" width="30.109375" style="15" customWidth="1"/>
    <col min="2" max="2" width="22.33203125" style="15" customWidth="1"/>
    <col min="3" max="3" width="23.109375" style="15" customWidth="1"/>
    <col min="4" max="4" width="25.33203125" style="15" customWidth="1"/>
    <col min="5" max="16384" width="9.21875" style="15"/>
  </cols>
  <sheetData>
    <row r="1" spans="1:5" x14ac:dyDescent="0.3">
      <c r="A1" s="31" t="s">
        <v>142</v>
      </c>
    </row>
    <row r="2" spans="1:5" x14ac:dyDescent="0.3">
      <c r="A2" s="28"/>
      <c r="B2" s="31" t="s">
        <v>143</v>
      </c>
      <c r="C2" s="31" t="s">
        <v>27</v>
      </c>
      <c r="D2" s="31" t="s">
        <v>26</v>
      </c>
      <c r="E2" s="31"/>
    </row>
    <row r="3" spans="1:5" x14ac:dyDescent="0.3">
      <c r="A3" s="28" t="s">
        <v>126</v>
      </c>
      <c r="B3" s="3">
        <v>-8335000000</v>
      </c>
      <c r="C3" s="3">
        <v>4041000000</v>
      </c>
      <c r="D3" s="3">
        <v>611000000</v>
      </c>
      <c r="E3" s="3"/>
    </row>
    <row r="4" spans="1:5" x14ac:dyDescent="0.3">
      <c r="A4" s="28" t="s">
        <v>138</v>
      </c>
      <c r="B4" s="3">
        <v>-18155000000</v>
      </c>
      <c r="C4" s="3">
        <v>4880000000</v>
      </c>
      <c r="D4" s="3">
        <v>1901000000</v>
      </c>
      <c r="E4" s="3"/>
    </row>
    <row r="5" spans="1:5" x14ac:dyDescent="0.3">
      <c r="A5" s="28" t="s">
        <v>54</v>
      </c>
      <c r="B5" s="3">
        <v>-1690000000</v>
      </c>
      <c r="C5" s="3">
        <v>7434000000</v>
      </c>
      <c r="D5" s="3">
        <v>305000000</v>
      </c>
      <c r="E5" s="3"/>
    </row>
    <row r="6" spans="1:5" x14ac:dyDescent="0.3">
      <c r="A6" s="14" t="s">
        <v>139</v>
      </c>
      <c r="B6" s="3">
        <v>-21213000000</v>
      </c>
      <c r="C6" s="3">
        <v>4221000000</v>
      </c>
      <c r="D6" s="3">
        <v>824000000</v>
      </c>
      <c r="E6" s="3"/>
    </row>
    <row r="7" spans="1:5" x14ac:dyDescent="0.3">
      <c r="A7" s="28" t="s">
        <v>58</v>
      </c>
      <c r="B7" s="3">
        <v>-4671000000</v>
      </c>
      <c r="C7" s="3">
        <v>4800000000</v>
      </c>
      <c r="D7" s="3">
        <v>1600000000</v>
      </c>
      <c r="E7" s="3"/>
    </row>
    <row r="8" spans="1:5" x14ac:dyDescent="0.3">
      <c r="A8" s="15" t="s">
        <v>140</v>
      </c>
      <c r="B8" s="3">
        <v>-9350317560.2280006</v>
      </c>
      <c r="C8" s="3">
        <v>807723193.09800005</v>
      </c>
      <c r="D8" s="3">
        <v>0</v>
      </c>
      <c r="E8" s="3"/>
    </row>
    <row r="9" spans="1:5" x14ac:dyDescent="0.3">
      <c r="A9" s="15" t="s">
        <v>141</v>
      </c>
      <c r="B9" s="3">
        <v>-82400000</v>
      </c>
      <c r="C9" s="3">
        <v>26500000</v>
      </c>
      <c r="D9" s="3"/>
      <c r="E9" s="3"/>
    </row>
    <row r="11" spans="1:5" x14ac:dyDescent="0.3">
      <c r="B11" s="16">
        <f>SUM(B3:B8)</f>
        <v>-63414317560.227997</v>
      </c>
      <c r="C11" s="16">
        <f>SUM(C3:C8)</f>
        <v>26183723193.098</v>
      </c>
      <c r="D11" s="16">
        <f>SUM(D3:D8)</f>
        <v>5241000000</v>
      </c>
    </row>
    <row r="13" spans="1:5" x14ac:dyDescent="0.3">
      <c r="D13" s="40">
        <f>D11+C11</f>
        <v>31424723193.098</v>
      </c>
    </row>
  </sheetData>
  <pageMargins left="0.7" right="0.7" top="0.75" bottom="0.75" header="0.3" footer="0.3"/>
  <pageSetup orientation="portrait" horizontalDpi="4294967293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2B2E-65FF-4599-A4C3-68D56190B9C8}">
  <dimension ref="A1:S17"/>
  <sheetViews>
    <sheetView topLeftCell="A10" zoomScaleNormal="100" workbookViewId="0">
      <pane xSplit="1" topLeftCell="K1" activePane="topRight" state="frozen"/>
      <selection activeCell="A6" sqref="A6"/>
      <selection pane="topRight" activeCell="P17" sqref="P17"/>
    </sheetView>
  </sheetViews>
  <sheetFormatPr defaultColWidth="11.44140625" defaultRowHeight="14.4" x14ac:dyDescent="0.3"/>
  <cols>
    <col min="1" max="1" width="38.21875" style="59" customWidth="1"/>
    <col min="2" max="2" width="9.6640625" style="59" customWidth="1"/>
    <col min="3" max="3" width="5.88671875" style="59" customWidth="1"/>
    <col min="4" max="4" width="14.6640625" style="59" bestFit="1" customWidth="1"/>
    <col min="5" max="7" width="16" style="59" customWidth="1"/>
    <col min="8" max="9" width="14.5546875" style="59" customWidth="1"/>
    <col min="10" max="10" width="13.6640625" style="59" customWidth="1"/>
    <col min="11" max="11" width="20.33203125" style="59" customWidth="1"/>
    <col min="12" max="13" width="16" style="59" customWidth="1"/>
    <col min="14" max="15" width="14.88671875" style="59" customWidth="1"/>
    <col min="16" max="16" width="17.109375" style="59" customWidth="1"/>
    <col min="17" max="17" width="18.21875" style="59" customWidth="1"/>
    <col min="18" max="18" width="17.88671875" style="55" bestFit="1" customWidth="1"/>
    <col min="19" max="19" width="11.44140625" style="55"/>
    <col min="20" max="16384" width="11.44140625" style="59"/>
  </cols>
  <sheetData>
    <row r="1" spans="1:19" x14ac:dyDescent="0.3">
      <c r="A1" s="61" t="s">
        <v>96</v>
      </c>
      <c r="B1" s="62" t="s">
        <v>29</v>
      </c>
      <c r="C1" s="62" t="s">
        <v>197</v>
      </c>
      <c r="D1" s="81" t="s">
        <v>196</v>
      </c>
      <c r="E1" s="81"/>
      <c r="F1" s="81"/>
      <c r="G1" s="82"/>
      <c r="H1" s="80" t="s">
        <v>195</v>
      </c>
      <c r="I1" s="81"/>
      <c r="J1" s="81"/>
      <c r="K1" s="81"/>
      <c r="L1" s="81" t="s">
        <v>205</v>
      </c>
      <c r="M1" s="81"/>
      <c r="N1" s="81"/>
      <c r="O1" s="81"/>
      <c r="P1" s="83" t="s">
        <v>194</v>
      </c>
      <c r="Q1" s="84"/>
      <c r="R1" s="84"/>
      <c r="S1" s="85"/>
    </row>
    <row r="2" spans="1:19" x14ac:dyDescent="0.3">
      <c r="A2" s="63"/>
      <c r="B2" s="63"/>
      <c r="C2" s="63"/>
      <c r="D2" s="64" t="s">
        <v>4</v>
      </c>
      <c r="E2" s="65" t="s">
        <v>5</v>
      </c>
      <c r="F2" s="66" t="s">
        <v>193</v>
      </c>
      <c r="G2" s="66" t="s">
        <v>192</v>
      </c>
      <c r="H2" s="64" t="s">
        <v>4</v>
      </c>
      <c r="I2" s="64" t="s">
        <v>5</v>
      </c>
      <c r="J2" s="65" t="s">
        <v>193</v>
      </c>
      <c r="K2" s="65" t="s">
        <v>192</v>
      </c>
      <c r="L2" s="64" t="s">
        <v>4</v>
      </c>
      <c r="M2" s="64" t="s">
        <v>206</v>
      </c>
      <c r="N2" s="65" t="s">
        <v>193</v>
      </c>
      <c r="O2" s="65" t="s">
        <v>192</v>
      </c>
      <c r="P2" s="67" t="s">
        <v>4</v>
      </c>
      <c r="Q2" s="68" t="s">
        <v>5</v>
      </c>
      <c r="R2" s="69" t="s">
        <v>193</v>
      </c>
      <c r="S2" s="69" t="s">
        <v>192</v>
      </c>
    </row>
    <row r="3" spans="1:19" x14ac:dyDescent="0.3">
      <c r="A3" s="71" t="s">
        <v>207</v>
      </c>
      <c r="B3" s="59" t="s">
        <v>181</v>
      </c>
      <c r="C3" s="60" t="s">
        <v>66</v>
      </c>
      <c r="D3" s="54">
        <v>351000000</v>
      </c>
      <c r="E3" s="54">
        <v>-808000000</v>
      </c>
      <c r="F3" s="54">
        <v>-932000000</v>
      </c>
      <c r="G3" s="58" t="s">
        <v>82</v>
      </c>
      <c r="H3" s="54">
        <v>364000000</v>
      </c>
      <c r="I3" s="54">
        <v>272000000</v>
      </c>
      <c r="J3" s="54">
        <v>0</v>
      </c>
      <c r="K3" s="58" t="s">
        <v>82</v>
      </c>
      <c r="L3" s="54">
        <v>221000000</v>
      </c>
      <c r="M3" s="54">
        <v>159000000</v>
      </c>
      <c r="N3" s="54">
        <v>7000000</v>
      </c>
      <c r="O3" s="58" t="s">
        <v>82</v>
      </c>
      <c r="P3" s="55">
        <f t="shared" ref="P3:P12" si="0">(L3+H3)/D3</f>
        <v>1.6666666666666667</v>
      </c>
      <c r="Q3" s="55">
        <f>-((M3+I3)-E3)/E3</f>
        <v>1.5334158415841583</v>
      </c>
      <c r="R3" s="55">
        <f>-((N3+J3)-F3)/F3</f>
        <v>1.007510729613734</v>
      </c>
      <c r="S3" s="56" t="s">
        <v>82</v>
      </c>
    </row>
    <row r="4" spans="1:19" x14ac:dyDescent="0.3">
      <c r="A4" s="59" t="s">
        <v>191</v>
      </c>
      <c r="B4" s="59" t="s">
        <v>181</v>
      </c>
      <c r="C4" s="60" t="s">
        <v>190</v>
      </c>
      <c r="D4" s="54">
        <v>1404200000</v>
      </c>
      <c r="E4" s="54">
        <v>531400000</v>
      </c>
      <c r="F4" s="54">
        <v>199200000</v>
      </c>
      <c r="G4" s="54">
        <v>-529600000</v>
      </c>
      <c r="H4" s="54">
        <v>1685600000</v>
      </c>
      <c r="I4" s="54">
        <v>851700000</v>
      </c>
      <c r="J4" s="54">
        <v>0</v>
      </c>
      <c r="K4" s="54">
        <v>0</v>
      </c>
      <c r="L4" s="57">
        <v>0</v>
      </c>
      <c r="M4" s="57">
        <v>0</v>
      </c>
      <c r="N4" s="57">
        <v>0</v>
      </c>
      <c r="O4" s="57">
        <v>0</v>
      </c>
      <c r="P4" s="55">
        <f t="shared" si="0"/>
        <v>1.2003988035892323</v>
      </c>
      <c r="Q4" s="55">
        <f>(M4+I4)/E4</f>
        <v>1.6027474595408355</v>
      </c>
      <c r="R4" s="55">
        <f>(N4+J4)/F4</f>
        <v>0</v>
      </c>
      <c r="S4" s="56">
        <f>-((O4+K4)-G4)/G4</f>
        <v>1</v>
      </c>
    </row>
    <row r="5" spans="1:19" x14ac:dyDescent="0.3">
      <c r="A5" s="59" t="s">
        <v>189</v>
      </c>
      <c r="B5" s="59" t="s">
        <v>181</v>
      </c>
      <c r="C5" s="60" t="s">
        <v>188</v>
      </c>
      <c r="D5" s="54">
        <v>4034000000</v>
      </c>
      <c r="E5" s="54">
        <v>2730600000</v>
      </c>
      <c r="F5" s="58" t="s">
        <v>82</v>
      </c>
      <c r="G5" s="58" t="s">
        <v>82</v>
      </c>
      <c r="H5" s="54">
        <v>2279100000</v>
      </c>
      <c r="I5" s="54" t="s">
        <v>82</v>
      </c>
      <c r="J5" s="58" t="s">
        <v>82</v>
      </c>
      <c r="K5" s="58" t="s">
        <v>82</v>
      </c>
      <c r="L5" s="57">
        <v>0</v>
      </c>
      <c r="M5" s="58" t="s">
        <v>82</v>
      </c>
      <c r="N5" s="58" t="s">
        <v>82</v>
      </c>
      <c r="O5" s="58" t="s">
        <v>82</v>
      </c>
      <c r="P5" s="55">
        <f t="shared" si="0"/>
        <v>0.56497273177987106</v>
      </c>
      <c r="Q5" s="55" t="s">
        <v>82</v>
      </c>
      <c r="R5" s="55" t="s">
        <v>82</v>
      </c>
      <c r="S5" s="56" t="s">
        <v>82</v>
      </c>
    </row>
    <row r="6" spans="1:19" x14ac:dyDescent="0.3">
      <c r="A6" s="59" t="s">
        <v>187</v>
      </c>
      <c r="B6" s="59" t="s">
        <v>181</v>
      </c>
      <c r="C6" s="60" t="s">
        <v>66</v>
      </c>
      <c r="D6" s="54">
        <v>4029000000</v>
      </c>
      <c r="E6" s="58">
        <v>2539000000</v>
      </c>
      <c r="F6" s="58">
        <v>847000000</v>
      </c>
      <c r="G6" s="58">
        <v>-790000000</v>
      </c>
      <c r="H6" s="54">
        <v>1332000000</v>
      </c>
      <c r="I6" s="54">
        <v>1452000000</v>
      </c>
      <c r="J6" s="54">
        <v>382000000</v>
      </c>
      <c r="K6" s="54">
        <v>381000000</v>
      </c>
      <c r="L6" s="57">
        <v>4303000000</v>
      </c>
      <c r="M6" s="58">
        <v>3067000000</v>
      </c>
      <c r="N6" s="57">
        <v>944000000</v>
      </c>
      <c r="O6" s="58">
        <v>202000000</v>
      </c>
      <c r="P6" s="55">
        <f t="shared" si="0"/>
        <v>1.3986100769421692</v>
      </c>
      <c r="Q6" s="55">
        <f>(M6+I6)/E6</f>
        <v>1.7798345805435212</v>
      </c>
      <c r="R6" s="55">
        <f>(N6+J6)/F6</f>
        <v>1.5655253837072018</v>
      </c>
      <c r="S6" s="56">
        <f>-((O6+K6)-G6)/G6</f>
        <v>1.7379746835443037</v>
      </c>
    </row>
    <row r="7" spans="1:19" x14ac:dyDescent="0.3">
      <c r="A7" s="59" t="s">
        <v>186</v>
      </c>
      <c r="B7" s="59" t="s">
        <v>181</v>
      </c>
      <c r="C7" s="60" t="s">
        <v>66</v>
      </c>
      <c r="D7" s="54">
        <v>1259800000</v>
      </c>
      <c r="E7" s="54">
        <v>344600000</v>
      </c>
      <c r="F7" s="54">
        <v>-483800000</v>
      </c>
      <c r="G7" s="58">
        <v>-285600000</v>
      </c>
      <c r="H7" s="54">
        <v>767100000</v>
      </c>
      <c r="I7" s="54">
        <v>732900000</v>
      </c>
      <c r="J7" s="54">
        <v>186400000</v>
      </c>
      <c r="K7" s="58">
        <v>186700000</v>
      </c>
      <c r="L7" s="57">
        <v>150700000</v>
      </c>
      <c r="M7" s="57">
        <v>1015600000</v>
      </c>
      <c r="N7" s="57">
        <v>500000000</v>
      </c>
      <c r="O7" s="58">
        <v>15600000</v>
      </c>
      <c r="P7" s="55">
        <f t="shared" si="0"/>
        <v>0.72852833783140181</v>
      </c>
      <c r="Q7" s="55">
        <f t="shared" ref="Q7:Q12" si="1">(M7+I7)/E7</f>
        <v>5.0739988392338944</v>
      </c>
      <c r="R7" s="55">
        <f>-((N7+J7)-F7)/F7</f>
        <v>2.4187680859859446</v>
      </c>
      <c r="S7" s="56">
        <f>-((O7+K7)-G7)/G7</f>
        <v>1.7083333333333333</v>
      </c>
    </row>
    <row r="8" spans="1:19" x14ac:dyDescent="0.3">
      <c r="A8" s="59" t="s">
        <v>116</v>
      </c>
      <c r="B8" s="59" t="s">
        <v>181</v>
      </c>
      <c r="C8" s="60" t="s">
        <v>77</v>
      </c>
      <c r="D8" s="54">
        <v>8047400000</v>
      </c>
      <c r="E8" s="58">
        <v>4979700000</v>
      </c>
      <c r="F8" s="58">
        <v>286800000</v>
      </c>
      <c r="G8" s="58">
        <v>293700000</v>
      </c>
      <c r="H8" s="54">
        <v>3500200000</v>
      </c>
      <c r="I8" s="54">
        <v>1245800000</v>
      </c>
      <c r="J8" s="58">
        <v>0</v>
      </c>
      <c r="K8" s="58">
        <v>0</v>
      </c>
      <c r="L8" s="57">
        <v>55000000</v>
      </c>
      <c r="M8" s="57">
        <v>87800000</v>
      </c>
      <c r="N8" s="58">
        <v>7100000</v>
      </c>
      <c r="O8" s="58">
        <v>7300000</v>
      </c>
      <c r="P8" s="55">
        <f t="shared" si="0"/>
        <v>0.44178243904863684</v>
      </c>
      <c r="Q8" s="55">
        <f t="shared" si="1"/>
        <v>0.26780729762837119</v>
      </c>
      <c r="R8" s="55">
        <f>(N8+J8)/F8</f>
        <v>2.4755927475592746E-2</v>
      </c>
      <c r="S8" s="56">
        <f>(O8+K8)/G8</f>
        <v>2.4855294518215866E-2</v>
      </c>
    </row>
    <row r="9" spans="1:19" x14ac:dyDescent="0.3">
      <c r="A9" s="59" t="s">
        <v>185</v>
      </c>
      <c r="B9" s="59" t="s">
        <v>181</v>
      </c>
      <c r="C9" s="60" t="s">
        <v>66</v>
      </c>
      <c r="D9" s="54">
        <v>3272200000</v>
      </c>
      <c r="E9" s="58">
        <v>711300000</v>
      </c>
      <c r="F9" s="58">
        <v>-887500000</v>
      </c>
      <c r="G9" s="58">
        <v>-2142000000</v>
      </c>
      <c r="H9" s="54">
        <v>1071600000</v>
      </c>
      <c r="I9" s="54">
        <v>832500000</v>
      </c>
      <c r="J9" s="54">
        <v>278300000</v>
      </c>
      <c r="K9" s="58">
        <v>100000</v>
      </c>
      <c r="L9" s="57">
        <v>1575400000</v>
      </c>
      <c r="M9" s="57">
        <v>1075600000</v>
      </c>
      <c r="N9" s="57">
        <v>223300000</v>
      </c>
      <c r="O9" s="58">
        <v>0</v>
      </c>
      <c r="P9" s="55">
        <f t="shared" si="0"/>
        <v>0.80893588411466288</v>
      </c>
      <c r="Q9" s="55">
        <f t="shared" si="1"/>
        <v>2.6825530718402923</v>
      </c>
      <c r="R9" s="55">
        <f>-((N9+J9)-F9)/F9</f>
        <v>1.5651830985915494</v>
      </c>
      <c r="S9" s="56">
        <f>(O9+K9)/G9</f>
        <v>-4.6685340802987859E-5</v>
      </c>
    </row>
    <row r="10" spans="1:19" x14ac:dyDescent="0.3">
      <c r="A10" s="59" t="s">
        <v>184</v>
      </c>
      <c r="B10" s="59" t="s">
        <v>181</v>
      </c>
      <c r="C10" s="60" t="s">
        <v>79</v>
      </c>
      <c r="D10" s="54">
        <v>2217500000</v>
      </c>
      <c r="E10" s="54">
        <v>617800000</v>
      </c>
      <c r="F10" s="54">
        <v>34100000</v>
      </c>
      <c r="G10" s="58">
        <v>-332000000</v>
      </c>
      <c r="H10" s="54">
        <v>745100000</v>
      </c>
      <c r="I10" s="54">
        <v>0</v>
      </c>
      <c r="J10" s="54">
        <v>0</v>
      </c>
      <c r="K10" s="58">
        <v>0</v>
      </c>
      <c r="L10" s="57">
        <v>939300000</v>
      </c>
      <c r="M10" s="57">
        <v>965600000</v>
      </c>
      <c r="N10" s="57">
        <v>290100000</v>
      </c>
      <c r="O10" s="58">
        <v>0</v>
      </c>
      <c r="P10" s="55">
        <f t="shared" si="0"/>
        <v>0.75959413754227734</v>
      </c>
      <c r="Q10" s="55">
        <f t="shared" si="1"/>
        <v>1.562965360958239</v>
      </c>
      <c r="R10" s="55">
        <f>(N10+J10)/F10</f>
        <v>8.5073313782991207</v>
      </c>
      <c r="S10" s="56">
        <f>-((O10+K10)-G10)/G10</f>
        <v>1</v>
      </c>
    </row>
    <row r="11" spans="1:19" x14ac:dyDescent="0.3">
      <c r="A11" s="59" t="s">
        <v>183</v>
      </c>
      <c r="B11" s="59" t="s">
        <v>181</v>
      </c>
      <c r="C11" s="60" t="s">
        <v>77</v>
      </c>
      <c r="D11" s="54">
        <v>2590700000</v>
      </c>
      <c r="E11" s="58">
        <v>2252400000</v>
      </c>
      <c r="F11" s="58">
        <v>149800000</v>
      </c>
      <c r="G11" s="58">
        <v>153400000</v>
      </c>
      <c r="H11" s="54">
        <v>1481800000</v>
      </c>
      <c r="I11" s="54">
        <v>1125500000</v>
      </c>
      <c r="J11" s="58">
        <v>549500000</v>
      </c>
      <c r="K11" s="58">
        <v>562700000</v>
      </c>
      <c r="L11" s="57">
        <v>451200000</v>
      </c>
      <c r="M11" s="57">
        <v>282900000</v>
      </c>
      <c r="N11" s="58">
        <v>1100000</v>
      </c>
      <c r="O11" s="58">
        <v>1100000</v>
      </c>
      <c r="P11" s="55">
        <f t="shared" si="0"/>
        <v>0.74613038947002741</v>
      </c>
      <c r="Q11" s="55">
        <f t="shared" si="1"/>
        <v>0.62528858106908192</v>
      </c>
      <c r="R11" s="55">
        <f>(N11+J11)/F11</f>
        <v>3.6755674232309747</v>
      </c>
      <c r="S11" s="56">
        <f>(O11+K11)/G11</f>
        <v>3.6753585397653192</v>
      </c>
    </row>
    <row r="12" spans="1:19" x14ac:dyDescent="0.3">
      <c r="A12" s="71" t="s">
        <v>182</v>
      </c>
      <c r="B12" s="59" t="s">
        <v>181</v>
      </c>
      <c r="C12" s="60" t="s">
        <v>76</v>
      </c>
      <c r="D12" s="54">
        <v>1530600000</v>
      </c>
      <c r="E12" s="54">
        <v>877900000</v>
      </c>
      <c r="F12" s="54">
        <v>272800000</v>
      </c>
      <c r="G12" s="54">
        <v>-91200000</v>
      </c>
      <c r="H12" s="54">
        <v>461100000</v>
      </c>
      <c r="I12" s="54">
        <v>454900000</v>
      </c>
      <c r="J12" s="54">
        <v>200000</v>
      </c>
      <c r="K12" s="54">
        <v>227200000</v>
      </c>
      <c r="L12" s="57">
        <v>0</v>
      </c>
      <c r="M12" s="57">
        <v>0</v>
      </c>
      <c r="N12" s="57">
        <v>0</v>
      </c>
      <c r="O12" s="57">
        <v>0</v>
      </c>
      <c r="P12" s="55">
        <f t="shared" si="0"/>
        <v>0.30125441003528031</v>
      </c>
      <c r="Q12" s="55">
        <f t="shared" si="1"/>
        <v>0.51816835630481828</v>
      </c>
      <c r="R12" s="55">
        <f>(N12+J12)/F12</f>
        <v>7.3313782991202346E-4</v>
      </c>
      <c r="S12" s="56">
        <f>-((O12+K12)-G12)/G12</f>
        <v>3.4912280701754388</v>
      </c>
    </row>
    <row r="13" spans="1:19" x14ac:dyDescent="0.3">
      <c r="I13" s="54"/>
      <c r="P13" s="55"/>
    </row>
    <row r="16" spans="1:19" x14ac:dyDescent="0.3">
      <c r="A16" s="70" t="s">
        <v>126</v>
      </c>
      <c r="D16" s="54">
        <f t="shared" ref="D16:O16" si="2">SUM(D3:D12)</f>
        <v>28736400000</v>
      </c>
      <c r="E16" s="54">
        <f t="shared" si="2"/>
        <v>14776700000</v>
      </c>
      <c r="F16" s="54">
        <f t="shared" si="2"/>
        <v>-513600000</v>
      </c>
      <c r="G16" s="54">
        <f t="shared" si="2"/>
        <v>-3723300000</v>
      </c>
      <c r="H16" s="54">
        <f t="shared" si="2"/>
        <v>13687600000</v>
      </c>
      <c r="I16" s="54">
        <f t="shared" si="2"/>
        <v>6967300000</v>
      </c>
      <c r="J16" s="54">
        <f t="shared" si="2"/>
        <v>1396400000</v>
      </c>
      <c r="K16" s="54">
        <f t="shared" si="2"/>
        <v>1357700000</v>
      </c>
      <c r="L16" s="54">
        <f t="shared" si="2"/>
        <v>7695600000</v>
      </c>
      <c r="M16" s="54">
        <f t="shared" si="2"/>
        <v>6653500000</v>
      </c>
      <c r="N16" s="54">
        <f t="shared" si="2"/>
        <v>1972600000</v>
      </c>
      <c r="O16" s="54">
        <f t="shared" si="2"/>
        <v>226000000</v>
      </c>
      <c r="P16" s="55">
        <f>(L16+H16)/D16</f>
        <v>0.74411547723444826</v>
      </c>
      <c r="Q16" s="55">
        <f>(M16+I16)/E16</f>
        <v>0.92177549791225377</v>
      </c>
      <c r="R16" s="55">
        <f>-((N16+J16)-F16)/F16</f>
        <v>7.5595794392523361</v>
      </c>
      <c r="S16" s="56">
        <f>-((O16+K16)-G16)/G16</f>
        <v>1.4253484811860446</v>
      </c>
    </row>
    <row r="17" spans="1:19" x14ac:dyDescent="0.3">
      <c r="A17" s="71" t="s">
        <v>204</v>
      </c>
      <c r="P17" s="57">
        <f>H16+L16</f>
        <v>21383200000</v>
      </c>
      <c r="Q17" s="54">
        <f>M16+I16</f>
        <v>13620800000</v>
      </c>
      <c r="R17" s="54">
        <f>N16+J16</f>
        <v>3369000000</v>
      </c>
      <c r="S17" s="54">
        <f>O12+K12</f>
        <v>227200000</v>
      </c>
    </row>
  </sheetData>
  <autoFilter ref="A1:S1" xr:uid="{30D16B2D-C9DC-47B2-9B23-C58111B7F973}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</autoFilter>
  <mergeCells count="4">
    <mergeCell ref="H1:K1"/>
    <mergeCell ref="L1:O1"/>
    <mergeCell ref="D1:G1"/>
    <mergeCell ref="P1:S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5F9B8-4883-47BB-8FE4-7C82F0C6101A}">
  <dimension ref="A1:AD74"/>
  <sheetViews>
    <sheetView zoomScale="60" zoomScaleNormal="60" workbookViewId="0">
      <pane xSplit="1" topLeftCell="B1" activePane="topRight" state="frozen"/>
      <selection pane="topRight" activeCell="J11" sqref="I11:J11"/>
    </sheetView>
  </sheetViews>
  <sheetFormatPr defaultColWidth="9.21875" defaultRowHeight="14.4" x14ac:dyDescent="0.3"/>
  <cols>
    <col min="1" max="1" width="34.6640625" style="15" customWidth="1"/>
    <col min="2" max="2" width="7" style="15" customWidth="1"/>
    <col min="3" max="3" width="14.6640625" style="15" customWidth="1"/>
    <col min="4" max="4" width="6.44140625" style="15" customWidth="1"/>
    <col min="5" max="5" width="9.77734375" style="15" customWidth="1"/>
    <col min="6" max="6" width="9.109375" style="15" customWidth="1"/>
    <col min="7" max="7" width="9.44140625" style="15" customWidth="1"/>
    <col min="8" max="8" width="10.109375" style="15" customWidth="1"/>
    <col min="9" max="9" width="8.77734375" style="15" customWidth="1"/>
    <col min="10" max="10" width="11.109375" style="15" customWidth="1"/>
    <col min="11" max="11" width="10" style="15" customWidth="1"/>
    <col min="12" max="12" width="12.109375" style="15" customWidth="1"/>
    <col min="13" max="16" width="13.33203125" style="15" customWidth="1"/>
    <col min="17" max="17" width="12.44140625" style="15" customWidth="1"/>
    <col min="18" max="18" width="13.33203125" style="15" customWidth="1"/>
    <col min="19" max="19" width="14.5546875" style="15" customWidth="1"/>
    <col min="20" max="20" width="9.109375" style="15" customWidth="1"/>
    <col min="21" max="21" width="17.6640625" style="15" customWidth="1"/>
    <col min="22" max="22" width="11.21875" style="15" customWidth="1"/>
    <col min="23" max="23" width="5.44140625" style="15" customWidth="1"/>
    <col min="24" max="24" width="26.109375" style="15" customWidth="1"/>
    <col min="25" max="25" width="24.77734375" style="15" customWidth="1"/>
    <col min="26" max="26" width="26" style="15" customWidth="1"/>
    <col min="27" max="27" width="16.44140625" style="15" customWidth="1"/>
    <col min="28" max="28" width="24" style="15" customWidth="1"/>
    <col min="29" max="29" width="13.109375" style="15" customWidth="1"/>
    <col min="30" max="16384" width="9.21875" style="15"/>
  </cols>
  <sheetData>
    <row r="1" spans="1:30" s="31" customFormat="1" x14ac:dyDescent="0.3">
      <c r="A1" s="31" t="s">
        <v>22</v>
      </c>
      <c r="B1" s="31" t="s">
        <v>0</v>
      </c>
      <c r="C1" s="31" t="s">
        <v>67</v>
      </c>
      <c r="D1" s="31" t="s">
        <v>119</v>
      </c>
      <c r="E1" s="31" t="s">
        <v>1</v>
      </c>
      <c r="F1" s="31" t="s">
        <v>2</v>
      </c>
      <c r="G1" s="31" t="s">
        <v>3</v>
      </c>
      <c r="H1" s="34" t="s">
        <v>4</v>
      </c>
      <c r="I1" s="34" t="s">
        <v>64</v>
      </c>
      <c r="J1" s="34" t="s">
        <v>65</v>
      </c>
      <c r="K1" s="34" t="s">
        <v>30</v>
      </c>
      <c r="L1" s="34" t="s">
        <v>32</v>
      </c>
      <c r="M1" s="34" t="s">
        <v>33</v>
      </c>
      <c r="N1" s="34" t="s">
        <v>34</v>
      </c>
      <c r="O1" s="34" t="s">
        <v>35</v>
      </c>
      <c r="P1" s="34" t="s">
        <v>36</v>
      </c>
      <c r="Q1" s="34" t="s">
        <v>6</v>
      </c>
      <c r="R1" s="34" t="s">
        <v>63</v>
      </c>
      <c r="S1" s="34" t="s">
        <v>7</v>
      </c>
      <c r="T1" s="34" t="s">
        <v>62</v>
      </c>
      <c r="U1" s="34" t="s">
        <v>174</v>
      </c>
      <c r="V1" s="31" t="s">
        <v>31</v>
      </c>
      <c r="W1" s="31" t="s">
        <v>8</v>
      </c>
      <c r="X1" s="31" t="s">
        <v>9</v>
      </c>
      <c r="Y1" s="31" t="s">
        <v>10</v>
      </c>
      <c r="Z1" s="31" t="s">
        <v>11</v>
      </c>
      <c r="AA1" s="31" t="s">
        <v>124</v>
      </c>
      <c r="AB1" s="31" t="s">
        <v>12</v>
      </c>
      <c r="AC1" s="31" t="s">
        <v>144</v>
      </c>
      <c r="AD1" s="31" t="s">
        <v>68</v>
      </c>
    </row>
    <row r="2" spans="1:30" x14ac:dyDescent="0.3">
      <c r="A2" s="14" t="s">
        <v>38</v>
      </c>
      <c r="B2" s="15" t="s">
        <v>13</v>
      </c>
      <c r="C2" s="38" t="s">
        <v>66</v>
      </c>
      <c r="D2" s="38" t="s">
        <v>120</v>
      </c>
      <c r="E2" s="3">
        <v>20539000000</v>
      </c>
      <c r="F2" s="3">
        <v>25489000000</v>
      </c>
      <c r="G2" s="3">
        <v>16571000000</v>
      </c>
      <c r="H2" s="3">
        <v>39240000000</v>
      </c>
      <c r="I2" s="3">
        <f t="shared" ref="I2:I33" si="0">AVERAGE(E2:H2)</f>
        <v>25459750000</v>
      </c>
      <c r="J2" s="3">
        <v>44281000000</v>
      </c>
      <c r="K2" s="4">
        <f t="shared" ref="K2:K33" si="1">(J2/I2)-1</f>
        <v>0.73925509873427675</v>
      </c>
      <c r="L2" s="16">
        <v>85320000000</v>
      </c>
      <c r="M2" s="16">
        <v>89950000000</v>
      </c>
      <c r="N2" s="16">
        <v>110360000000</v>
      </c>
      <c r="O2" s="16">
        <v>125843000000</v>
      </c>
      <c r="P2" s="16">
        <f t="shared" ref="P2:P33" si="2">AVERAGE(L2:O2)</f>
        <v>102868250000</v>
      </c>
      <c r="Q2" s="3">
        <v>143015000000</v>
      </c>
      <c r="R2" s="4">
        <f t="shared" ref="R2:R33" si="3">I2/P2</f>
        <v>0.24749862080865573</v>
      </c>
      <c r="S2" s="4">
        <f t="shared" ref="S2:S33" si="4">J2/Q2</f>
        <v>0.30962486452470023</v>
      </c>
      <c r="T2" s="4">
        <f t="shared" ref="T2:T33" si="5">S2-R2</f>
        <v>6.2126243716044499E-2</v>
      </c>
      <c r="U2" s="24">
        <f t="shared" ref="U2:U33" si="6">J2-I2</f>
        <v>18821250000</v>
      </c>
      <c r="V2" s="3">
        <v>19269000000</v>
      </c>
      <c r="W2" s="3">
        <f t="shared" ref="W2:W25" si="7">V2*0.08</f>
        <v>1541520000</v>
      </c>
      <c r="X2" s="3">
        <f t="shared" ref="X2:X44" si="8">W2+(0.95*I2)</f>
        <v>25728282500</v>
      </c>
      <c r="Y2" s="3">
        <f t="shared" ref="Y2:Y44" si="9">J2-X2</f>
        <v>18552717500</v>
      </c>
      <c r="Z2" s="26">
        <f t="shared" ref="Z2:Z33" si="10">Y2*0.95</f>
        <v>17625081625</v>
      </c>
      <c r="AA2" s="17">
        <f t="shared" ref="AA2:AA10" si="11">(0.95*I2)*0.21</f>
        <v>5079220125</v>
      </c>
      <c r="AB2" s="5">
        <f t="shared" ref="AB2:AB33" si="12">(AA2+Z2)/J2</f>
        <v>0.51273236263860344</v>
      </c>
      <c r="AC2" s="18">
        <v>44012</v>
      </c>
      <c r="AD2" s="15" t="s">
        <v>69</v>
      </c>
    </row>
    <row r="3" spans="1:30" x14ac:dyDescent="0.3">
      <c r="A3" s="14" t="s">
        <v>40</v>
      </c>
      <c r="B3" s="15" t="s">
        <v>13</v>
      </c>
      <c r="C3" s="38" t="s">
        <v>66</v>
      </c>
      <c r="D3" s="38" t="s">
        <v>120</v>
      </c>
      <c r="E3" s="3">
        <v>10316000000</v>
      </c>
      <c r="F3" s="3">
        <v>9601000000</v>
      </c>
      <c r="G3" s="3">
        <v>21053000000</v>
      </c>
      <c r="H3" s="3">
        <v>21048000000</v>
      </c>
      <c r="I3" s="3">
        <f t="shared" si="0"/>
        <v>15504500000</v>
      </c>
      <c r="J3" s="3">
        <v>23661000000</v>
      </c>
      <c r="K3" s="4">
        <f t="shared" si="1"/>
        <v>0.52607307555870886</v>
      </c>
      <c r="L3" s="16">
        <v>59387000000</v>
      </c>
      <c r="M3" s="16">
        <v>62761000000</v>
      </c>
      <c r="N3" s="16">
        <v>70848000000</v>
      </c>
      <c r="O3" s="16">
        <v>71965000000</v>
      </c>
      <c r="P3" s="16">
        <f t="shared" si="2"/>
        <v>66240250000</v>
      </c>
      <c r="Q3" s="3">
        <v>78955000000</v>
      </c>
      <c r="R3" s="4">
        <f t="shared" si="3"/>
        <v>0.23406463592755161</v>
      </c>
      <c r="S3" s="4">
        <f t="shared" si="4"/>
        <v>0.29967703122031536</v>
      </c>
      <c r="T3" s="4">
        <f t="shared" si="5"/>
        <v>6.5612395292763748E-2</v>
      </c>
      <c r="U3" s="24">
        <f t="shared" si="6"/>
        <v>8156500000</v>
      </c>
      <c r="V3" s="3">
        <v>13221000000</v>
      </c>
      <c r="W3" s="3">
        <f t="shared" si="7"/>
        <v>1057680000</v>
      </c>
      <c r="X3" s="3">
        <f t="shared" si="8"/>
        <v>15786955000</v>
      </c>
      <c r="Y3" s="3">
        <f t="shared" si="9"/>
        <v>7874045000</v>
      </c>
      <c r="Z3" s="26">
        <f t="shared" si="10"/>
        <v>7480342750</v>
      </c>
      <c r="AA3" s="17">
        <f t="shared" si="11"/>
        <v>3093147750</v>
      </c>
      <c r="AB3" s="5">
        <f t="shared" si="12"/>
        <v>0.44687420227378388</v>
      </c>
      <c r="AC3" s="18">
        <v>44009</v>
      </c>
      <c r="AD3" s="15" t="s">
        <v>69</v>
      </c>
    </row>
    <row r="4" spans="1:30" x14ac:dyDescent="0.3">
      <c r="A4" s="14" t="s">
        <v>61</v>
      </c>
      <c r="B4" s="15" t="s">
        <v>13</v>
      </c>
      <c r="C4" s="38" t="s">
        <v>66</v>
      </c>
      <c r="D4" s="38" t="s">
        <v>120</v>
      </c>
      <c r="E4" s="3">
        <v>19478000000</v>
      </c>
      <c r="F4" s="3">
        <v>12662000000</v>
      </c>
      <c r="G4" s="3">
        <v>30736000000</v>
      </c>
      <c r="H4" s="3">
        <v>34343000000.000004</v>
      </c>
      <c r="I4" s="3">
        <f t="shared" si="0"/>
        <v>24304750000</v>
      </c>
      <c r="J4" s="3">
        <v>31534000000</v>
      </c>
      <c r="K4" s="4">
        <f t="shared" si="1"/>
        <v>0.29744185807301049</v>
      </c>
      <c r="L4" s="16">
        <v>90272000000</v>
      </c>
      <c r="M4" s="16">
        <v>110855000000</v>
      </c>
      <c r="N4" s="16">
        <v>136819000000</v>
      </c>
      <c r="O4" s="16">
        <v>161857000000</v>
      </c>
      <c r="P4" s="16">
        <f t="shared" si="2"/>
        <v>124950750000</v>
      </c>
      <c r="Q4" s="3">
        <v>166030000000</v>
      </c>
      <c r="R4" s="4">
        <f t="shared" si="3"/>
        <v>0.19451463876767447</v>
      </c>
      <c r="S4" s="4">
        <f t="shared" si="4"/>
        <v>0.18992953080768535</v>
      </c>
      <c r="T4" s="4">
        <f t="shared" si="5"/>
        <v>-4.5851079599891209E-3</v>
      </c>
      <c r="U4" s="24">
        <f t="shared" si="6"/>
        <v>7229250000</v>
      </c>
      <c r="V4" s="3">
        <v>27471000000</v>
      </c>
      <c r="W4" s="3">
        <f t="shared" si="7"/>
        <v>2197680000</v>
      </c>
      <c r="X4" s="3">
        <f t="shared" si="8"/>
        <v>25287192500</v>
      </c>
      <c r="Y4" s="3">
        <f t="shared" si="9"/>
        <v>6246807500</v>
      </c>
      <c r="Z4" s="26">
        <f t="shared" si="10"/>
        <v>5934467125</v>
      </c>
      <c r="AA4" s="17">
        <f t="shared" si="11"/>
        <v>4848797625</v>
      </c>
      <c r="AB4" s="5">
        <f t="shared" si="12"/>
        <v>0.34195676888437876</v>
      </c>
      <c r="AC4" s="18">
        <v>44012</v>
      </c>
      <c r="AD4" s="15" t="s">
        <v>69</v>
      </c>
    </row>
    <row r="5" spans="1:30" x14ac:dyDescent="0.3">
      <c r="A5" s="14" t="s">
        <v>41</v>
      </c>
      <c r="B5" s="15" t="s">
        <v>13</v>
      </c>
      <c r="C5" s="38" t="s">
        <v>66</v>
      </c>
      <c r="D5" s="38" t="s">
        <v>66</v>
      </c>
      <c r="E5" s="3">
        <v>10217000000</v>
      </c>
      <c r="F5" s="3">
        <v>15934000000</v>
      </c>
      <c r="G5" s="3">
        <v>22112000000</v>
      </c>
      <c r="H5" s="3">
        <v>18485000000</v>
      </c>
      <c r="I5" s="3">
        <f t="shared" si="0"/>
        <v>16687000000</v>
      </c>
      <c r="J5" s="3">
        <v>23521000000</v>
      </c>
      <c r="K5" s="4">
        <f t="shared" si="1"/>
        <v>0.40954036075987288</v>
      </c>
      <c r="L5" s="16">
        <v>27638000000</v>
      </c>
      <c r="M5" s="16">
        <v>40653000000</v>
      </c>
      <c r="N5" s="16">
        <v>55838000000</v>
      </c>
      <c r="O5" s="16">
        <v>70697000000</v>
      </c>
      <c r="P5" s="16">
        <f t="shared" si="2"/>
        <v>48706500000</v>
      </c>
      <c r="Q5" s="3">
        <v>75157000000</v>
      </c>
      <c r="R5" s="4">
        <f t="shared" si="3"/>
        <v>0.34260314331762703</v>
      </c>
      <c r="S5" s="4">
        <f t="shared" si="4"/>
        <v>0.31295820748566333</v>
      </c>
      <c r="T5" s="4">
        <f t="shared" si="5"/>
        <v>-2.9644935831963704E-2</v>
      </c>
      <c r="U5" s="24">
        <f t="shared" si="6"/>
        <v>6834000000</v>
      </c>
      <c r="V5" s="3">
        <v>15902000000</v>
      </c>
      <c r="W5" s="3">
        <f t="shared" si="7"/>
        <v>1272160000</v>
      </c>
      <c r="X5" s="3">
        <f t="shared" si="8"/>
        <v>17124810000</v>
      </c>
      <c r="Y5" s="3">
        <f t="shared" si="9"/>
        <v>6396190000</v>
      </c>
      <c r="Z5" s="26">
        <f t="shared" si="10"/>
        <v>6076380500</v>
      </c>
      <c r="AA5" s="17">
        <f t="shared" si="11"/>
        <v>3329056500</v>
      </c>
      <c r="AB5" s="5">
        <f t="shared" si="12"/>
        <v>0.39987402746481865</v>
      </c>
      <c r="AC5" s="18">
        <v>44012</v>
      </c>
      <c r="AD5" s="15" t="s">
        <v>69</v>
      </c>
    </row>
    <row r="6" spans="1:30" x14ac:dyDescent="0.3">
      <c r="A6" s="14" t="s">
        <v>59</v>
      </c>
      <c r="B6" s="14" t="s">
        <v>17</v>
      </c>
      <c r="C6" s="38" t="s">
        <v>66</v>
      </c>
      <c r="D6" s="38" t="s">
        <v>120</v>
      </c>
      <c r="E6" s="3">
        <v>14694000000</v>
      </c>
      <c r="F6" s="3">
        <v>13643000000</v>
      </c>
      <c r="G6" s="3">
        <v>9862000000</v>
      </c>
      <c r="H6" s="3">
        <v>6670000000</v>
      </c>
      <c r="I6" s="3">
        <f t="shared" si="0"/>
        <v>11217250000</v>
      </c>
      <c r="J6" s="3">
        <v>17895000000</v>
      </c>
      <c r="K6" s="4">
        <f t="shared" si="1"/>
        <v>0.59531079364371831</v>
      </c>
      <c r="L6" s="16">
        <v>482130000000</v>
      </c>
      <c r="M6" s="16">
        <v>485873000000</v>
      </c>
      <c r="N6" s="16">
        <v>500343000000</v>
      </c>
      <c r="O6" s="16">
        <v>514405000000</v>
      </c>
      <c r="P6" s="16">
        <f t="shared" si="2"/>
        <v>495687750000</v>
      </c>
      <c r="Q6" s="3">
        <v>542026000000</v>
      </c>
      <c r="R6" s="4">
        <f t="shared" si="3"/>
        <v>2.2629669585338755E-2</v>
      </c>
      <c r="S6" s="4">
        <f t="shared" si="4"/>
        <v>3.3015021419636699E-2</v>
      </c>
      <c r="T6" s="4">
        <f t="shared" si="5"/>
        <v>1.0385351834297944E-2</v>
      </c>
      <c r="U6" s="24">
        <f t="shared" si="6"/>
        <v>6677750000</v>
      </c>
      <c r="V6" s="3">
        <v>0</v>
      </c>
      <c r="W6" s="3">
        <f t="shared" si="7"/>
        <v>0</v>
      </c>
      <c r="X6" s="3">
        <f t="shared" si="8"/>
        <v>10656387500</v>
      </c>
      <c r="Y6" s="3">
        <f t="shared" si="9"/>
        <v>7238612500</v>
      </c>
      <c r="Z6" s="26">
        <f t="shared" si="10"/>
        <v>6876681875</v>
      </c>
      <c r="AA6" s="17">
        <f t="shared" si="11"/>
        <v>2237841375</v>
      </c>
      <c r="AB6" s="5">
        <f t="shared" si="12"/>
        <v>0.50933351494830958</v>
      </c>
      <c r="AC6" s="18">
        <v>44043</v>
      </c>
      <c r="AD6" s="15" t="s">
        <v>69</v>
      </c>
    </row>
    <row r="7" spans="1:30" x14ac:dyDescent="0.3">
      <c r="A7" s="14" t="s">
        <v>57</v>
      </c>
      <c r="B7" s="15" t="s">
        <v>17</v>
      </c>
      <c r="C7" s="38" t="s">
        <v>66</v>
      </c>
      <c r="D7" s="38" t="s">
        <v>120</v>
      </c>
      <c r="E7" s="3">
        <v>2371000000</v>
      </c>
      <c r="F7" s="3">
        <v>3033000000</v>
      </c>
      <c r="G7" s="3">
        <v>10073000000</v>
      </c>
      <c r="H7" s="3">
        <v>11588000000</v>
      </c>
      <c r="I7" s="3">
        <f t="shared" si="0"/>
        <v>6766250000</v>
      </c>
      <c r="J7" s="3">
        <v>13180000000</v>
      </c>
      <c r="K7" s="23">
        <f t="shared" si="1"/>
        <v>0.94790319600960649</v>
      </c>
      <c r="L7" s="16">
        <v>135987000000</v>
      </c>
      <c r="M7" s="16">
        <v>177866000000</v>
      </c>
      <c r="N7" s="16">
        <v>232887000000</v>
      </c>
      <c r="O7" s="16">
        <v>280522000000</v>
      </c>
      <c r="P7" s="16">
        <f t="shared" si="2"/>
        <v>206815500000</v>
      </c>
      <c r="Q7" s="3">
        <v>321782000000</v>
      </c>
      <c r="R7" s="4">
        <f t="shared" si="3"/>
        <v>3.2716358300030703E-2</v>
      </c>
      <c r="S7" s="4">
        <f t="shared" si="4"/>
        <v>4.0959407300594809E-2</v>
      </c>
      <c r="T7" s="4">
        <f t="shared" si="5"/>
        <v>8.2430490005641066E-3</v>
      </c>
      <c r="U7" s="24">
        <f t="shared" si="6"/>
        <v>6413750000</v>
      </c>
      <c r="V7" s="3">
        <v>38119000000</v>
      </c>
      <c r="W7" s="3">
        <f t="shared" si="7"/>
        <v>3049520000</v>
      </c>
      <c r="X7" s="3">
        <f t="shared" si="8"/>
        <v>9477457500</v>
      </c>
      <c r="Y7" s="3">
        <f t="shared" si="9"/>
        <v>3702542500</v>
      </c>
      <c r="Z7" s="17">
        <f t="shared" si="10"/>
        <v>3517415375</v>
      </c>
      <c r="AA7" s="17">
        <f t="shared" si="11"/>
        <v>1349866875</v>
      </c>
      <c r="AB7" s="5">
        <f t="shared" si="12"/>
        <v>0.36929303869499241</v>
      </c>
      <c r="AC7" s="18">
        <v>44012</v>
      </c>
      <c r="AD7" s="15" t="s">
        <v>69</v>
      </c>
    </row>
    <row r="8" spans="1:30" x14ac:dyDescent="0.3">
      <c r="A8" s="14" t="s">
        <v>53</v>
      </c>
      <c r="B8" s="38" t="s">
        <v>15</v>
      </c>
      <c r="C8" s="38" t="s">
        <v>66</v>
      </c>
      <c r="D8" s="38" t="s">
        <v>66</v>
      </c>
      <c r="E8" s="3">
        <v>7017000000</v>
      </c>
      <c r="F8" s="3">
        <v>10558000000</v>
      </c>
      <c r="G8" s="3">
        <v>11986000000</v>
      </c>
      <c r="H8" s="3">
        <v>13839000000</v>
      </c>
      <c r="I8" s="3">
        <f t="shared" si="0"/>
        <v>10850000000</v>
      </c>
      <c r="J8" s="3">
        <v>17098000000</v>
      </c>
      <c r="K8" s="4">
        <f t="shared" si="1"/>
        <v>0.57585253456221208</v>
      </c>
      <c r="L8" s="16">
        <v>184012000000</v>
      </c>
      <c r="M8" s="16">
        <v>200136000000</v>
      </c>
      <c r="N8" s="16">
        <v>224871000000</v>
      </c>
      <c r="O8" s="16">
        <v>240269000000</v>
      </c>
      <c r="P8" s="16">
        <f t="shared" si="2"/>
        <v>212322000000</v>
      </c>
      <c r="Q8" s="16">
        <v>247811000000</v>
      </c>
      <c r="R8" s="4">
        <f t="shared" si="3"/>
        <v>5.1101628658358531E-2</v>
      </c>
      <c r="S8" s="4">
        <f t="shared" si="4"/>
        <v>6.8996130115289475E-2</v>
      </c>
      <c r="T8" s="4">
        <f t="shared" si="5"/>
        <v>1.7894501456930945E-2</v>
      </c>
      <c r="U8" s="24">
        <f t="shared" si="6"/>
        <v>6248000000</v>
      </c>
      <c r="V8" s="3">
        <v>0</v>
      </c>
      <c r="W8" s="3">
        <f t="shared" si="7"/>
        <v>0</v>
      </c>
      <c r="X8" s="3">
        <f t="shared" si="8"/>
        <v>10307500000</v>
      </c>
      <c r="Y8" s="3">
        <f t="shared" si="9"/>
        <v>6790500000</v>
      </c>
      <c r="Z8" s="26">
        <f t="shared" si="10"/>
        <v>6450975000</v>
      </c>
      <c r="AA8" s="17">
        <f t="shared" si="11"/>
        <v>2164575000</v>
      </c>
      <c r="AB8" s="5">
        <f t="shared" si="12"/>
        <v>0.50389226810153231</v>
      </c>
      <c r="AC8" s="18">
        <v>44012</v>
      </c>
      <c r="AD8" s="15" t="s">
        <v>69</v>
      </c>
    </row>
    <row r="9" spans="1:30" x14ac:dyDescent="0.3">
      <c r="A9" s="14" t="s">
        <v>44</v>
      </c>
      <c r="B9" s="15" t="s">
        <v>13</v>
      </c>
      <c r="C9" s="38" t="s">
        <v>66</v>
      </c>
      <c r="D9" s="38" t="s">
        <v>120</v>
      </c>
      <c r="E9" s="3">
        <v>45687000000</v>
      </c>
      <c r="F9" s="3">
        <v>48351000000</v>
      </c>
      <c r="G9" s="3">
        <v>59531000000</v>
      </c>
      <c r="H9" s="3">
        <v>55256000000</v>
      </c>
      <c r="I9" s="3">
        <f t="shared" si="0"/>
        <v>52206250000</v>
      </c>
      <c r="J9" s="3">
        <v>58424000000</v>
      </c>
      <c r="K9" s="4">
        <f t="shared" si="1"/>
        <v>0.11909972464982643</v>
      </c>
      <c r="L9" s="16">
        <v>215639000000</v>
      </c>
      <c r="M9" s="16">
        <v>229234000000</v>
      </c>
      <c r="N9" s="16">
        <v>265595000000</v>
      </c>
      <c r="O9" s="16">
        <v>260174000000</v>
      </c>
      <c r="P9" s="16">
        <f t="shared" si="2"/>
        <v>242660500000</v>
      </c>
      <c r="Q9" s="3">
        <v>273857000000</v>
      </c>
      <c r="R9" s="4">
        <f t="shared" si="3"/>
        <v>0.21514111278926731</v>
      </c>
      <c r="S9" s="4">
        <f t="shared" si="4"/>
        <v>0.21333761780783403</v>
      </c>
      <c r="T9" s="4">
        <f t="shared" si="5"/>
        <v>-1.8034949814332846E-3</v>
      </c>
      <c r="U9" s="24">
        <f t="shared" si="6"/>
        <v>6217750000</v>
      </c>
      <c r="V9" s="3">
        <v>17884000000</v>
      </c>
      <c r="W9" s="3">
        <f t="shared" si="7"/>
        <v>1430720000</v>
      </c>
      <c r="X9" s="3">
        <f t="shared" si="8"/>
        <v>51026657500</v>
      </c>
      <c r="Y9" s="3">
        <f t="shared" si="9"/>
        <v>7397342500</v>
      </c>
      <c r="Z9" s="26">
        <f t="shared" si="10"/>
        <v>7027475375</v>
      </c>
      <c r="AA9" s="17">
        <f t="shared" si="11"/>
        <v>10415146875</v>
      </c>
      <c r="AB9" s="5">
        <f t="shared" si="12"/>
        <v>0.29855234578255513</v>
      </c>
      <c r="AC9" s="18">
        <v>44009</v>
      </c>
      <c r="AD9" s="15" t="s">
        <v>69</v>
      </c>
    </row>
    <row r="10" spans="1:30" x14ac:dyDescent="0.3">
      <c r="A10" s="14" t="s">
        <v>46</v>
      </c>
      <c r="B10" s="14" t="s">
        <v>24</v>
      </c>
      <c r="C10" s="38" t="s">
        <v>66</v>
      </c>
      <c r="D10" s="38" t="s">
        <v>120</v>
      </c>
      <c r="E10" s="3">
        <v>3920000000</v>
      </c>
      <c r="F10" s="3">
        <v>2394000000</v>
      </c>
      <c r="G10" s="3">
        <v>6220000000</v>
      </c>
      <c r="H10" s="3">
        <v>9843000000</v>
      </c>
      <c r="I10" s="3">
        <f t="shared" si="0"/>
        <v>5594250000</v>
      </c>
      <c r="J10" s="3">
        <v>10479000000</v>
      </c>
      <c r="K10" s="4">
        <f t="shared" si="1"/>
        <v>0.87317334763373111</v>
      </c>
      <c r="L10" s="16">
        <v>39807000000</v>
      </c>
      <c r="M10" s="16">
        <v>40122000000</v>
      </c>
      <c r="N10" s="16">
        <v>42294000000</v>
      </c>
      <c r="O10" s="16">
        <v>46840000000</v>
      </c>
      <c r="P10" s="16">
        <f t="shared" si="2"/>
        <v>42265750000</v>
      </c>
      <c r="Q10" s="3">
        <v>47194000000</v>
      </c>
      <c r="R10" s="4">
        <f t="shared" si="3"/>
        <v>0.13235894311587987</v>
      </c>
      <c r="S10" s="4">
        <f t="shared" si="4"/>
        <v>0.22204093740729755</v>
      </c>
      <c r="T10" s="4">
        <f t="shared" si="5"/>
        <v>8.9681994291417683E-2</v>
      </c>
      <c r="U10" s="24">
        <f t="shared" si="6"/>
        <v>4884750000</v>
      </c>
      <c r="V10" s="3">
        <v>8910000000</v>
      </c>
      <c r="W10" s="3">
        <f t="shared" si="7"/>
        <v>712800000</v>
      </c>
      <c r="X10" s="3">
        <f t="shared" si="8"/>
        <v>6027337500</v>
      </c>
      <c r="Y10" s="3">
        <f t="shared" si="9"/>
        <v>4451662500</v>
      </c>
      <c r="Z10" s="26">
        <f t="shared" si="10"/>
        <v>4229079375</v>
      </c>
      <c r="AA10" s="17">
        <f t="shared" si="11"/>
        <v>1116052875</v>
      </c>
      <c r="AB10" s="5">
        <f t="shared" si="12"/>
        <v>0.51008037503578585</v>
      </c>
      <c r="AC10" s="18">
        <v>44012</v>
      </c>
      <c r="AD10" s="15" t="s">
        <v>69</v>
      </c>
    </row>
    <row r="11" spans="1:30" x14ac:dyDescent="0.3">
      <c r="A11" s="14" t="s">
        <v>171</v>
      </c>
      <c r="B11" s="32" t="s">
        <v>84</v>
      </c>
      <c r="C11" s="32" t="s">
        <v>85</v>
      </c>
      <c r="D11" s="32" t="s">
        <v>120</v>
      </c>
      <c r="E11" s="3">
        <v>-6385000000</v>
      </c>
      <c r="F11" s="3">
        <v>5890000000</v>
      </c>
      <c r="G11" s="3">
        <v>3705000000</v>
      </c>
      <c r="H11" s="3">
        <v>9410000000</v>
      </c>
      <c r="I11" s="3">
        <f t="shared" si="0"/>
        <v>3155000000</v>
      </c>
      <c r="J11" s="3">
        <v>7956000000</v>
      </c>
      <c r="K11" s="4">
        <f t="shared" si="1"/>
        <v>1.5217115689381933</v>
      </c>
      <c r="L11" s="16">
        <v>29005000000</v>
      </c>
      <c r="M11" s="16">
        <v>35947000000</v>
      </c>
      <c r="N11" s="16">
        <v>43386000000</v>
      </c>
      <c r="O11" s="16">
        <v>44609000000</v>
      </c>
      <c r="P11" s="16">
        <f t="shared" si="2"/>
        <v>38236750000</v>
      </c>
      <c r="Q11" s="3">
        <v>43708000000</v>
      </c>
      <c r="R11" s="4">
        <f t="shared" si="3"/>
        <v>8.2512242803062505E-2</v>
      </c>
      <c r="S11" s="4">
        <f t="shared" si="4"/>
        <v>0.18202617369817883</v>
      </c>
      <c r="T11" s="4">
        <f t="shared" si="5"/>
        <v>9.9513930895116329E-2</v>
      </c>
      <c r="U11" s="24">
        <f t="shared" si="6"/>
        <v>4801000000</v>
      </c>
      <c r="V11" s="35">
        <v>0</v>
      </c>
      <c r="W11" s="3">
        <f t="shared" si="7"/>
        <v>0</v>
      </c>
      <c r="X11" s="3">
        <f t="shared" si="8"/>
        <v>2997250000</v>
      </c>
      <c r="Y11" s="3">
        <f t="shared" si="9"/>
        <v>4958750000</v>
      </c>
      <c r="Z11" s="17">
        <f t="shared" si="10"/>
        <v>4710812500</v>
      </c>
      <c r="AA11" s="17">
        <f>(0.95*I11)*0.31</f>
        <v>929147500</v>
      </c>
      <c r="AB11" s="5">
        <f t="shared" si="12"/>
        <v>0.70889391654097533</v>
      </c>
      <c r="AC11" s="18">
        <v>44012</v>
      </c>
      <c r="AD11" s="15" t="s">
        <v>69</v>
      </c>
    </row>
    <row r="12" spans="1:30" x14ac:dyDescent="0.3">
      <c r="A12" s="14" t="s">
        <v>145</v>
      </c>
      <c r="B12" s="32" t="s">
        <v>18</v>
      </c>
      <c r="C12" s="32" t="s">
        <v>81</v>
      </c>
      <c r="D12" s="32" t="s">
        <v>120</v>
      </c>
      <c r="E12" s="3">
        <v>8398500000</v>
      </c>
      <c r="F12" s="3">
        <v>7342800000</v>
      </c>
      <c r="G12" s="3">
        <v>10300200000</v>
      </c>
      <c r="H12" s="3">
        <v>13019200000</v>
      </c>
      <c r="I12" s="3">
        <f t="shared" si="0"/>
        <v>9765175000</v>
      </c>
      <c r="J12" s="3">
        <v>14275800000</v>
      </c>
      <c r="K12" s="4">
        <f t="shared" si="1"/>
        <v>0.46190928477984272</v>
      </c>
      <c r="L12" s="3">
        <v>88391000000</v>
      </c>
      <c r="M12" s="3">
        <v>92269000000</v>
      </c>
      <c r="N12" s="3">
        <v>93245700000</v>
      </c>
      <c r="O12" s="3">
        <v>95886400000</v>
      </c>
      <c r="P12" s="16">
        <f t="shared" si="2"/>
        <v>92448025000</v>
      </c>
      <c r="Q12" s="16">
        <v>93504100000</v>
      </c>
      <c r="R12" s="4">
        <f t="shared" si="3"/>
        <v>0.10562881143215336</v>
      </c>
      <c r="S12" s="4">
        <f t="shared" si="4"/>
        <v>0.15267565807274761</v>
      </c>
      <c r="T12" s="4">
        <f t="shared" si="5"/>
        <v>4.7046846640594248E-2</v>
      </c>
      <c r="U12" s="24">
        <f t="shared" si="6"/>
        <v>4510625000</v>
      </c>
      <c r="V12" s="3">
        <v>1695800000</v>
      </c>
      <c r="W12" s="3">
        <f t="shared" si="7"/>
        <v>135664000</v>
      </c>
      <c r="X12" s="3">
        <f t="shared" si="8"/>
        <v>9412580250</v>
      </c>
      <c r="Y12" s="3">
        <f t="shared" si="9"/>
        <v>4863219750</v>
      </c>
      <c r="Z12" s="26">
        <f t="shared" si="10"/>
        <v>4620058762.5</v>
      </c>
      <c r="AA12" s="17">
        <f>(0.95*I12)*0.085</f>
        <v>788537881.25</v>
      </c>
      <c r="AB12" s="5">
        <f t="shared" si="12"/>
        <v>0.37886469716233068</v>
      </c>
      <c r="AC12" s="18">
        <v>44012</v>
      </c>
      <c r="AD12" s="15" t="s">
        <v>69</v>
      </c>
    </row>
    <row r="13" spans="1:30" x14ac:dyDescent="0.3">
      <c r="A13" s="14" t="s">
        <v>60</v>
      </c>
      <c r="B13" s="38" t="s">
        <v>15</v>
      </c>
      <c r="C13" s="38" t="s">
        <v>66</v>
      </c>
      <c r="D13" s="38" t="s">
        <v>66</v>
      </c>
      <c r="E13" s="3">
        <v>5317000000</v>
      </c>
      <c r="F13" s="3">
        <v>6622000000</v>
      </c>
      <c r="G13" s="3">
        <v>-594000000</v>
      </c>
      <c r="H13" s="3">
        <v>6634000000</v>
      </c>
      <c r="I13" s="3">
        <f t="shared" si="0"/>
        <v>4494750000</v>
      </c>
      <c r="J13" s="16">
        <v>8259000000</v>
      </c>
      <c r="K13" s="4">
        <f t="shared" si="1"/>
        <v>0.83747705656599369</v>
      </c>
      <c r="L13" s="16">
        <v>177526000000</v>
      </c>
      <c r="M13" s="16">
        <v>184765000000</v>
      </c>
      <c r="N13" s="16">
        <v>194579000000</v>
      </c>
      <c r="O13" s="16">
        <v>256776000000</v>
      </c>
      <c r="P13" s="16">
        <f t="shared" si="2"/>
        <v>203411500000</v>
      </c>
      <c r="Q13" s="16">
        <v>262784000000</v>
      </c>
      <c r="R13" s="4">
        <f t="shared" si="3"/>
        <v>2.2096833266555725E-2</v>
      </c>
      <c r="S13" s="4">
        <f t="shared" si="4"/>
        <v>3.1428854115927912E-2</v>
      </c>
      <c r="T13" s="4">
        <f t="shared" si="5"/>
        <v>9.3320208493721871E-3</v>
      </c>
      <c r="U13" s="24">
        <f t="shared" si="6"/>
        <v>3764250000</v>
      </c>
      <c r="V13" s="3">
        <v>0</v>
      </c>
      <c r="W13" s="3">
        <f t="shared" si="7"/>
        <v>0</v>
      </c>
      <c r="X13" s="3">
        <f t="shared" si="8"/>
        <v>4270012500</v>
      </c>
      <c r="Y13" s="3">
        <f t="shared" si="9"/>
        <v>3988987500</v>
      </c>
      <c r="Z13" s="17">
        <f t="shared" si="10"/>
        <v>3789538125</v>
      </c>
      <c r="AA13" s="17">
        <f>(0.95*I13)*0.21</f>
        <v>896702625</v>
      </c>
      <c r="AB13" s="5">
        <f t="shared" si="12"/>
        <v>0.56741018888485284</v>
      </c>
      <c r="AC13" s="18">
        <v>44012</v>
      </c>
      <c r="AD13" s="15" t="s">
        <v>69</v>
      </c>
    </row>
    <row r="14" spans="1:30" x14ac:dyDescent="0.3">
      <c r="A14" s="14" t="s">
        <v>45</v>
      </c>
      <c r="B14" s="15" t="s">
        <v>13</v>
      </c>
      <c r="C14" s="38" t="s">
        <v>66</v>
      </c>
      <c r="D14" s="38" t="s">
        <v>66</v>
      </c>
      <c r="E14" s="3">
        <v>10739000000</v>
      </c>
      <c r="F14" s="3">
        <v>9609000000</v>
      </c>
      <c r="G14" s="3">
        <v>110000000</v>
      </c>
      <c r="H14" s="3">
        <v>11621000000</v>
      </c>
      <c r="I14" s="3">
        <f t="shared" si="0"/>
        <v>8019750000</v>
      </c>
      <c r="J14" s="3">
        <v>11214000000</v>
      </c>
      <c r="K14" s="4">
        <f t="shared" si="1"/>
        <v>0.39829795193117001</v>
      </c>
      <c r="L14" s="16">
        <v>49247000000</v>
      </c>
      <c r="M14" s="16">
        <v>48005000000</v>
      </c>
      <c r="N14" s="16">
        <v>49330000000</v>
      </c>
      <c r="O14" s="16">
        <v>51904000000</v>
      </c>
      <c r="P14" s="16">
        <f t="shared" si="2"/>
        <v>49621500000</v>
      </c>
      <c r="Q14" s="3">
        <v>49301000000</v>
      </c>
      <c r="R14" s="4">
        <f t="shared" si="3"/>
        <v>0.16161845167921163</v>
      </c>
      <c r="S14" s="4">
        <f t="shared" si="4"/>
        <v>0.22745988925173932</v>
      </c>
      <c r="T14" s="4">
        <f t="shared" si="5"/>
        <v>6.5841437572527695E-2</v>
      </c>
      <c r="U14" s="24">
        <f t="shared" si="6"/>
        <v>3194250000</v>
      </c>
      <c r="V14" s="3">
        <v>6347000000</v>
      </c>
      <c r="W14" s="3">
        <f t="shared" si="7"/>
        <v>507760000</v>
      </c>
      <c r="X14" s="3">
        <f t="shared" si="8"/>
        <v>8126522500</v>
      </c>
      <c r="Y14" s="3">
        <f t="shared" si="9"/>
        <v>3087477500</v>
      </c>
      <c r="Z14" s="26">
        <f t="shared" si="10"/>
        <v>2933103625</v>
      </c>
      <c r="AA14" s="17">
        <f>(0.95*I14)*0.21</f>
        <v>1599940125</v>
      </c>
      <c r="AB14" s="5">
        <f t="shared" si="12"/>
        <v>0.40423076065632246</v>
      </c>
      <c r="AC14" s="18">
        <v>44037</v>
      </c>
      <c r="AD14" s="15" t="s">
        <v>69</v>
      </c>
    </row>
    <row r="15" spans="1:30" x14ac:dyDescent="0.3">
      <c r="A15" s="14" t="s">
        <v>52</v>
      </c>
      <c r="B15" s="38" t="s">
        <v>18</v>
      </c>
      <c r="C15" s="38" t="s">
        <v>66</v>
      </c>
      <c r="D15" s="38" t="s">
        <v>120</v>
      </c>
      <c r="E15" s="3">
        <v>10508000000</v>
      </c>
      <c r="F15" s="3">
        <v>15326000000</v>
      </c>
      <c r="G15" s="3">
        <v>9750000000</v>
      </c>
      <c r="H15" s="3">
        <v>3897000000</v>
      </c>
      <c r="I15" s="3">
        <f t="shared" si="0"/>
        <v>9870250000</v>
      </c>
      <c r="J15" s="3">
        <v>13027000000</v>
      </c>
      <c r="K15" s="4">
        <f t="shared" si="1"/>
        <v>0.31982472581748178</v>
      </c>
      <c r="L15" s="16">
        <v>65299000000</v>
      </c>
      <c r="M15" s="16">
        <v>65058000000</v>
      </c>
      <c r="N15" s="16">
        <v>66832000000</v>
      </c>
      <c r="O15" s="16">
        <v>67684000000</v>
      </c>
      <c r="P15" s="16">
        <f t="shared" si="2"/>
        <v>66218250000</v>
      </c>
      <c r="Q15" s="3">
        <v>70950000000</v>
      </c>
      <c r="R15" s="4">
        <f t="shared" si="3"/>
        <v>0.14905634020832625</v>
      </c>
      <c r="S15" s="4">
        <f t="shared" si="4"/>
        <v>0.18360817477096547</v>
      </c>
      <c r="T15" s="4">
        <f t="shared" si="5"/>
        <v>3.4551834562639216E-2</v>
      </c>
      <c r="U15" s="3">
        <f t="shared" si="6"/>
        <v>3156750000</v>
      </c>
      <c r="V15" s="3">
        <v>0</v>
      </c>
      <c r="W15" s="3">
        <f t="shared" si="7"/>
        <v>0</v>
      </c>
      <c r="X15" s="3">
        <f t="shared" si="8"/>
        <v>9376737500</v>
      </c>
      <c r="Y15" s="3">
        <f t="shared" si="9"/>
        <v>3650262500</v>
      </c>
      <c r="Z15" s="26">
        <f t="shared" si="10"/>
        <v>3467749375</v>
      </c>
      <c r="AA15" s="17">
        <f>(0.95*I15)*0.21</f>
        <v>1969114875</v>
      </c>
      <c r="AB15" s="5">
        <f t="shared" si="12"/>
        <v>0.41735351577492902</v>
      </c>
      <c r="AC15" s="18">
        <v>44012</v>
      </c>
      <c r="AD15" s="15" t="s">
        <v>69</v>
      </c>
    </row>
    <row r="16" spans="1:30" x14ac:dyDescent="0.3">
      <c r="A16" s="14" t="s">
        <v>47</v>
      </c>
      <c r="B16" s="14" t="s">
        <v>24</v>
      </c>
      <c r="C16" s="38" t="s">
        <v>66</v>
      </c>
      <c r="D16" s="38" t="s">
        <v>120</v>
      </c>
      <c r="E16" s="3">
        <v>16540000000</v>
      </c>
      <c r="F16" s="3">
        <v>1300000000</v>
      </c>
      <c r="G16" s="3">
        <v>15297000000</v>
      </c>
      <c r="H16" s="3">
        <v>15119000000</v>
      </c>
      <c r="I16" s="3">
        <f t="shared" si="0"/>
        <v>12064000000</v>
      </c>
      <c r="J16" s="3">
        <v>15185000000</v>
      </c>
      <c r="K16" s="4">
        <f t="shared" si="1"/>
        <v>0.25870358090185674</v>
      </c>
      <c r="L16" s="16">
        <v>71890000000</v>
      </c>
      <c r="M16" s="16">
        <v>76450000000</v>
      </c>
      <c r="N16" s="16">
        <v>81581000000</v>
      </c>
      <c r="O16" s="16">
        <v>82059000000</v>
      </c>
      <c r="P16" s="16">
        <f t="shared" si="2"/>
        <v>77995000000</v>
      </c>
      <c r="Q16" s="3">
        <v>80503000000</v>
      </c>
      <c r="R16" s="4">
        <f t="shared" si="3"/>
        <v>0.15467658183216873</v>
      </c>
      <c r="S16" s="4">
        <f t="shared" si="4"/>
        <v>0.18862651081326162</v>
      </c>
      <c r="T16" s="4">
        <f t="shared" si="5"/>
        <v>3.3949928981092892E-2</v>
      </c>
      <c r="U16" s="24">
        <f t="shared" si="6"/>
        <v>3121000000</v>
      </c>
      <c r="V16" s="3">
        <v>11118000000</v>
      </c>
      <c r="W16" s="3">
        <f t="shared" si="7"/>
        <v>889440000</v>
      </c>
      <c r="X16" s="3">
        <f t="shared" si="8"/>
        <v>12350240000</v>
      </c>
      <c r="Y16" s="3">
        <f t="shared" si="9"/>
        <v>2834760000</v>
      </c>
      <c r="Z16" s="17">
        <f t="shared" si="10"/>
        <v>2693022000</v>
      </c>
      <c r="AA16" s="17">
        <f>(0.95*I16)*0.21</f>
        <v>2406768000</v>
      </c>
      <c r="AB16" s="5">
        <f t="shared" si="12"/>
        <v>0.33584392492591375</v>
      </c>
      <c r="AC16" s="18">
        <v>44010</v>
      </c>
      <c r="AD16" s="15" t="s">
        <v>69</v>
      </c>
    </row>
    <row r="17" spans="1:30" x14ac:dyDescent="0.3">
      <c r="A17" s="14" t="s">
        <v>37</v>
      </c>
      <c r="B17" s="14" t="s">
        <v>19</v>
      </c>
      <c r="C17" s="38" t="s">
        <v>66</v>
      </c>
      <c r="D17" s="38" t="s">
        <v>66</v>
      </c>
      <c r="E17" s="3">
        <v>5991000000</v>
      </c>
      <c r="F17" s="3">
        <v>6699000000</v>
      </c>
      <c r="G17" s="3">
        <v>10301000000</v>
      </c>
      <c r="H17" s="3">
        <v>12080000000</v>
      </c>
      <c r="I17" s="3">
        <f t="shared" si="0"/>
        <v>8767750000</v>
      </c>
      <c r="J17" s="16">
        <v>11754000000</v>
      </c>
      <c r="K17" s="4">
        <f t="shared" si="1"/>
        <v>0.34059479341906429</v>
      </c>
      <c r="L17" s="16">
        <v>15082000000</v>
      </c>
      <c r="M17" s="16">
        <v>18358000000</v>
      </c>
      <c r="N17" s="16">
        <v>20609000000</v>
      </c>
      <c r="O17" s="16">
        <v>22977000000</v>
      </c>
      <c r="P17" s="16">
        <f t="shared" si="2"/>
        <v>19256500000</v>
      </c>
      <c r="Q17" s="16">
        <v>22882000000</v>
      </c>
      <c r="R17" s="4">
        <f t="shared" si="3"/>
        <v>0.45531379014878093</v>
      </c>
      <c r="S17" s="4">
        <f t="shared" si="4"/>
        <v>0.51367887422428105</v>
      </c>
      <c r="T17" s="4">
        <f t="shared" si="5"/>
        <v>5.8365084075500118E-2</v>
      </c>
      <c r="U17" s="24">
        <f t="shared" si="6"/>
        <v>2986250000</v>
      </c>
      <c r="V17" s="3">
        <v>0</v>
      </c>
      <c r="W17" s="3">
        <f t="shared" si="7"/>
        <v>0</v>
      </c>
      <c r="X17" s="3">
        <f t="shared" si="8"/>
        <v>8329362500</v>
      </c>
      <c r="Y17" s="3">
        <f t="shared" si="9"/>
        <v>3424637500</v>
      </c>
      <c r="Z17" s="17">
        <f t="shared" si="10"/>
        <v>3253405625</v>
      </c>
      <c r="AA17" s="17">
        <f>(0.95*I17)*0.21</f>
        <v>1749166125</v>
      </c>
      <c r="AB17" s="5">
        <f t="shared" si="12"/>
        <v>0.42560590011910837</v>
      </c>
      <c r="AC17" s="18">
        <v>44012</v>
      </c>
      <c r="AD17" s="15" t="s">
        <v>69</v>
      </c>
    </row>
    <row r="18" spans="1:30" x14ac:dyDescent="0.3">
      <c r="A18" s="14" t="s">
        <v>146</v>
      </c>
      <c r="B18" s="32" t="s">
        <v>24</v>
      </c>
      <c r="C18" s="32" t="s">
        <v>81</v>
      </c>
      <c r="D18" s="32" t="s">
        <v>120</v>
      </c>
      <c r="E18" s="3">
        <v>9427200000</v>
      </c>
      <c r="F18" s="3">
        <v>8858400000</v>
      </c>
      <c r="G18" s="3">
        <v>10671200000</v>
      </c>
      <c r="H18" s="3">
        <v>13936100000</v>
      </c>
      <c r="I18" s="3">
        <f t="shared" si="0"/>
        <v>10723225000</v>
      </c>
      <c r="J18" s="3">
        <v>13681000000</v>
      </c>
      <c r="K18" s="4">
        <f t="shared" si="1"/>
        <v>0.27582886678214802</v>
      </c>
      <c r="L18" s="16">
        <v>51818000000</v>
      </c>
      <c r="M18" s="16">
        <v>57201000000</v>
      </c>
      <c r="N18" s="16">
        <v>60467000000</v>
      </c>
      <c r="O18" s="16">
        <v>65825000000</v>
      </c>
      <c r="P18" s="16">
        <f t="shared" si="2"/>
        <v>58827750000</v>
      </c>
      <c r="Q18" s="16">
        <v>65865000000</v>
      </c>
      <c r="R18" s="4">
        <f t="shared" si="3"/>
        <v>0.18228174628470406</v>
      </c>
      <c r="S18" s="4">
        <f t="shared" si="4"/>
        <v>0.2077127457678585</v>
      </c>
      <c r="T18" s="4">
        <f t="shared" si="5"/>
        <v>2.5430999483154443E-2</v>
      </c>
      <c r="U18" s="24">
        <f t="shared" si="6"/>
        <v>2957775000</v>
      </c>
      <c r="V18" s="3">
        <v>12878000000</v>
      </c>
      <c r="W18" s="3">
        <f t="shared" si="7"/>
        <v>1030240000</v>
      </c>
      <c r="X18" s="3">
        <f t="shared" si="8"/>
        <v>11217303750</v>
      </c>
      <c r="Y18" s="3">
        <f t="shared" si="9"/>
        <v>2463696250</v>
      </c>
      <c r="Z18" s="17">
        <f t="shared" si="10"/>
        <v>2340511437.5</v>
      </c>
      <c r="AA18" s="17">
        <f>(0.95*I18)*0.085</f>
        <v>865900418.75000012</v>
      </c>
      <c r="AB18" s="5">
        <f t="shared" si="12"/>
        <v>0.23436969930926102</v>
      </c>
      <c r="AC18" s="18">
        <v>44012</v>
      </c>
      <c r="AD18" s="15" t="s">
        <v>69</v>
      </c>
    </row>
    <row r="19" spans="1:30" x14ac:dyDescent="0.3">
      <c r="A19" s="14" t="s">
        <v>50</v>
      </c>
      <c r="B19" s="38" t="s">
        <v>17</v>
      </c>
      <c r="C19" s="38" t="s">
        <v>66</v>
      </c>
      <c r="D19" s="38" t="s">
        <v>66</v>
      </c>
      <c r="E19" s="3">
        <v>7957000000</v>
      </c>
      <c r="F19" s="3">
        <v>8630000000</v>
      </c>
      <c r="G19" s="3">
        <v>11121000000</v>
      </c>
      <c r="H19" s="3">
        <v>11242000000</v>
      </c>
      <c r="I19" s="3">
        <f t="shared" si="0"/>
        <v>9737500000</v>
      </c>
      <c r="J19" s="3">
        <v>11827000000</v>
      </c>
      <c r="K19" s="4">
        <f t="shared" si="1"/>
        <v>0.21458279845956363</v>
      </c>
      <c r="L19" s="16">
        <v>88519000000</v>
      </c>
      <c r="M19" s="16">
        <v>94595000000</v>
      </c>
      <c r="N19" s="16">
        <v>100904000000</v>
      </c>
      <c r="O19" s="16">
        <v>108203000000</v>
      </c>
      <c r="P19" s="16">
        <f t="shared" si="2"/>
        <v>98055250000</v>
      </c>
      <c r="Q19" s="3">
        <v>119318000000</v>
      </c>
      <c r="R19" s="4">
        <f t="shared" si="3"/>
        <v>9.930625846142864E-2</v>
      </c>
      <c r="S19" s="4">
        <f t="shared" si="4"/>
        <v>9.9121674852075958E-2</v>
      </c>
      <c r="T19" s="4">
        <f t="shared" si="5"/>
        <v>-1.8458360935268148E-4</v>
      </c>
      <c r="U19" s="24">
        <f t="shared" si="6"/>
        <v>2089500000</v>
      </c>
      <c r="V19" s="3">
        <v>0</v>
      </c>
      <c r="W19" s="3">
        <f t="shared" si="7"/>
        <v>0</v>
      </c>
      <c r="X19" s="3">
        <f t="shared" si="8"/>
        <v>9250625000</v>
      </c>
      <c r="Y19" s="3">
        <f t="shared" si="9"/>
        <v>2576375000</v>
      </c>
      <c r="Z19" s="17">
        <f t="shared" si="10"/>
        <v>2447556250</v>
      </c>
      <c r="AA19" s="17">
        <f>(0.95*I19)*0.21</f>
        <v>1942631250</v>
      </c>
      <c r="AB19" s="5">
        <f t="shared" si="12"/>
        <v>0.37120043121670754</v>
      </c>
      <c r="AC19" s="18">
        <v>44045</v>
      </c>
      <c r="AD19" s="15" t="s">
        <v>69</v>
      </c>
    </row>
    <row r="20" spans="1:30" x14ac:dyDescent="0.3">
      <c r="A20" s="14" t="s">
        <v>42</v>
      </c>
      <c r="B20" s="15" t="s">
        <v>13</v>
      </c>
      <c r="C20" s="38" t="s">
        <v>66</v>
      </c>
      <c r="D20" s="38" t="s">
        <v>66</v>
      </c>
      <c r="E20" s="3">
        <v>8901000000</v>
      </c>
      <c r="F20" s="3">
        <v>9335000000</v>
      </c>
      <c r="G20" s="3">
        <v>3825000000</v>
      </c>
      <c r="H20" s="3">
        <v>11083000000</v>
      </c>
      <c r="I20" s="3">
        <f t="shared" si="0"/>
        <v>8286000000</v>
      </c>
      <c r="J20" s="3">
        <v>10135000000</v>
      </c>
      <c r="K20" s="4">
        <f t="shared" si="1"/>
        <v>0.22314747767318366</v>
      </c>
      <c r="L20" s="16">
        <v>37407000000</v>
      </c>
      <c r="M20" s="16">
        <v>37728000000</v>
      </c>
      <c r="N20" s="16">
        <v>39831000000</v>
      </c>
      <c r="O20" s="16">
        <v>39506000000</v>
      </c>
      <c r="P20" s="16">
        <f t="shared" si="2"/>
        <v>38618000000</v>
      </c>
      <c r="Q20" s="3">
        <v>39068000000</v>
      </c>
      <c r="R20" s="4">
        <f t="shared" si="3"/>
        <v>0.21456315707701071</v>
      </c>
      <c r="S20" s="4">
        <f t="shared" si="4"/>
        <v>0.25941947373809765</v>
      </c>
      <c r="T20" s="4">
        <f t="shared" si="5"/>
        <v>4.4856316661086942E-2</v>
      </c>
      <c r="U20" s="24">
        <f t="shared" si="6"/>
        <v>1849000000</v>
      </c>
      <c r="V20" s="3">
        <v>6067000000</v>
      </c>
      <c r="W20" s="3">
        <f t="shared" si="7"/>
        <v>485360000</v>
      </c>
      <c r="X20" s="3">
        <f t="shared" si="8"/>
        <v>8357060000</v>
      </c>
      <c r="Y20" s="3">
        <f t="shared" si="9"/>
        <v>1777940000</v>
      </c>
      <c r="Z20" s="17">
        <f t="shared" si="10"/>
        <v>1689043000</v>
      </c>
      <c r="AA20" s="17">
        <f>(0.95*I20)*0.21</f>
        <v>1653057000</v>
      </c>
      <c r="AB20" s="5">
        <f t="shared" si="12"/>
        <v>0.32975826344351256</v>
      </c>
      <c r="AC20" s="18">
        <v>43982</v>
      </c>
      <c r="AD20" s="15" t="s">
        <v>137</v>
      </c>
    </row>
    <row r="21" spans="1:30" x14ac:dyDescent="0.3">
      <c r="A21" s="14" t="s">
        <v>147</v>
      </c>
      <c r="B21" s="32" t="s">
        <v>14</v>
      </c>
      <c r="C21" s="32" t="s">
        <v>79</v>
      </c>
      <c r="D21" s="32" t="s">
        <v>120</v>
      </c>
      <c r="E21" s="3">
        <v>2823800000</v>
      </c>
      <c r="F21" s="3">
        <v>4155900000</v>
      </c>
      <c r="G21" s="3">
        <v>2480000000</v>
      </c>
      <c r="H21" s="3">
        <v>4339600000</v>
      </c>
      <c r="I21" s="3">
        <f t="shared" si="0"/>
        <v>3449825000</v>
      </c>
      <c r="J21" s="3">
        <v>4267000000</v>
      </c>
      <c r="K21" s="4">
        <f t="shared" si="1"/>
        <v>0.23687433420535831</v>
      </c>
      <c r="L21" s="16">
        <v>79429000000</v>
      </c>
      <c r="M21" s="16">
        <v>92786000000</v>
      </c>
      <c r="N21" s="16">
        <v>89441000000</v>
      </c>
      <c r="O21" s="16">
        <v>93114000000</v>
      </c>
      <c r="P21" s="16">
        <f t="shared" si="2"/>
        <v>88692500000</v>
      </c>
      <c r="Q21" s="16">
        <v>91699000000</v>
      </c>
      <c r="R21" s="4">
        <f t="shared" si="3"/>
        <v>3.8896468134284184E-2</v>
      </c>
      <c r="S21" s="4">
        <f t="shared" si="4"/>
        <v>4.6532677564640836E-2</v>
      </c>
      <c r="T21" s="4">
        <f t="shared" si="5"/>
        <v>7.6362094303566511E-3</v>
      </c>
      <c r="U21" s="3">
        <f t="shared" si="6"/>
        <v>817175000</v>
      </c>
      <c r="V21" s="20">
        <v>0</v>
      </c>
      <c r="W21" s="3">
        <f t="shared" si="7"/>
        <v>0</v>
      </c>
      <c r="X21" s="3">
        <f t="shared" si="8"/>
        <v>3277333750</v>
      </c>
      <c r="Y21" s="3">
        <f t="shared" si="9"/>
        <v>989666250</v>
      </c>
      <c r="Z21" s="17">
        <f t="shared" si="10"/>
        <v>940182937.5</v>
      </c>
      <c r="AA21" s="17">
        <f>(0.95*I21)*0.15</f>
        <v>491600062.5</v>
      </c>
      <c r="AB21" s="5">
        <f t="shared" si="12"/>
        <v>0.3355479259432857</v>
      </c>
      <c r="AC21" s="18">
        <v>43921</v>
      </c>
      <c r="AD21" s="15" t="s">
        <v>137</v>
      </c>
    </row>
    <row r="22" spans="1:30" x14ac:dyDescent="0.3">
      <c r="A22" s="14" t="s">
        <v>149</v>
      </c>
      <c r="B22" s="32" t="s">
        <v>13</v>
      </c>
      <c r="C22" s="32" t="s">
        <v>73</v>
      </c>
      <c r="D22" s="32" t="s">
        <v>73</v>
      </c>
      <c r="E22" s="3">
        <v>1645000000</v>
      </c>
      <c r="F22" s="3">
        <v>2482000000</v>
      </c>
      <c r="G22" s="3">
        <v>2967000000</v>
      </c>
      <c r="H22" s="3">
        <v>2909000000</v>
      </c>
      <c r="I22" s="3">
        <f t="shared" si="0"/>
        <v>2500750000</v>
      </c>
      <c r="J22" s="3">
        <v>3254000000</v>
      </c>
      <c r="K22" s="4">
        <f t="shared" si="1"/>
        <v>0.30120963710886728</v>
      </c>
      <c r="L22" s="16">
        <v>7258000000</v>
      </c>
      <c r="M22" s="16">
        <v>10762000000</v>
      </c>
      <c r="N22" s="16">
        <v>12530000000</v>
      </c>
      <c r="O22" s="16">
        <v>13265000000</v>
      </c>
      <c r="P22" s="16">
        <f t="shared" si="2"/>
        <v>10953750000</v>
      </c>
      <c r="Q22" s="16">
        <v>14336000000</v>
      </c>
      <c r="R22" s="4">
        <f t="shared" si="3"/>
        <v>0.22830081022480886</v>
      </c>
      <c r="S22" s="4">
        <f t="shared" si="4"/>
        <v>0.22698102678571427</v>
      </c>
      <c r="T22" s="4">
        <f t="shared" si="5"/>
        <v>-1.3197834390945851E-3</v>
      </c>
      <c r="U22" s="3">
        <f t="shared" si="6"/>
        <v>753250000</v>
      </c>
      <c r="V22" s="3">
        <v>2376000000</v>
      </c>
      <c r="W22" s="3">
        <f t="shared" si="7"/>
        <v>190080000</v>
      </c>
      <c r="X22" s="3">
        <f t="shared" si="8"/>
        <v>2565792500</v>
      </c>
      <c r="Y22" s="3">
        <f t="shared" si="9"/>
        <v>688207500</v>
      </c>
      <c r="Z22" s="17">
        <f t="shared" si="10"/>
        <v>653797125</v>
      </c>
      <c r="AA22" s="17">
        <f>(0.95*I22)*0.25</f>
        <v>593928125</v>
      </c>
      <c r="AB22" s="5">
        <f t="shared" si="12"/>
        <v>0.38344353103872159</v>
      </c>
      <c r="AC22" s="18">
        <v>44010</v>
      </c>
      <c r="AD22" s="15" t="s">
        <v>69</v>
      </c>
    </row>
    <row r="23" spans="1:30" x14ac:dyDescent="0.3">
      <c r="A23" s="14" t="s">
        <v>43</v>
      </c>
      <c r="B23" s="14" t="s">
        <v>24</v>
      </c>
      <c r="C23" s="38" t="s">
        <v>66</v>
      </c>
      <c r="D23" s="38" t="s">
        <v>66</v>
      </c>
      <c r="E23" s="3">
        <v>5953000000</v>
      </c>
      <c r="F23" s="3">
        <v>5309000000</v>
      </c>
      <c r="G23" s="3">
        <v>5687000000</v>
      </c>
      <c r="H23" s="3">
        <v>7882000000</v>
      </c>
      <c r="I23" s="3">
        <f t="shared" si="0"/>
        <v>6207750000</v>
      </c>
      <c r="J23" s="3">
        <v>6957000000</v>
      </c>
      <c r="K23" s="4">
        <f t="shared" si="1"/>
        <v>0.12069590431315702</v>
      </c>
      <c r="L23" s="16">
        <v>25638000000</v>
      </c>
      <c r="M23" s="16">
        <v>28216000000</v>
      </c>
      <c r="N23" s="16">
        <v>32753000000</v>
      </c>
      <c r="O23" s="16">
        <v>33266000000</v>
      </c>
      <c r="P23" s="16">
        <f t="shared" si="2"/>
        <v>29968250000</v>
      </c>
      <c r="Q23" s="3">
        <v>36227000000</v>
      </c>
      <c r="R23" s="4">
        <f t="shared" si="3"/>
        <v>0.20714422764091997</v>
      </c>
      <c r="S23" s="4">
        <f t="shared" si="4"/>
        <v>0.19203908686890994</v>
      </c>
      <c r="T23" s="4">
        <f t="shared" si="5"/>
        <v>-1.5105140772010028E-2</v>
      </c>
      <c r="U23" s="24">
        <f t="shared" si="6"/>
        <v>749250000</v>
      </c>
      <c r="V23" s="3">
        <v>5582000000</v>
      </c>
      <c r="W23" s="3">
        <f t="shared" si="7"/>
        <v>446560000</v>
      </c>
      <c r="X23" s="3">
        <f t="shared" si="8"/>
        <v>6343922500</v>
      </c>
      <c r="Y23" s="3">
        <f t="shared" si="9"/>
        <v>613077500</v>
      </c>
      <c r="Z23" s="17">
        <f t="shared" si="10"/>
        <v>582423625</v>
      </c>
      <c r="AA23" s="17">
        <f>(0.95*I23)*0.21</f>
        <v>1238446125</v>
      </c>
      <c r="AB23" s="5">
        <f t="shared" si="12"/>
        <v>0.26173203248526666</v>
      </c>
      <c r="AC23" s="18">
        <v>44012</v>
      </c>
      <c r="AD23" s="15" t="s">
        <v>69</v>
      </c>
    </row>
    <row r="24" spans="1:30" x14ac:dyDescent="0.3">
      <c r="A24" s="15" t="s">
        <v>170</v>
      </c>
      <c r="B24" s="15" t="s">
        <v>14</v>
      </c>
      <c r="C24" s="15" t="s">
        <v>91</v>
      </c>
      <c r="D24" s="32" t="s">
        <v>122</v>
      </c>
      <c r="E24" s="3">
        <v>-190600000</v>
      </c>
      <c r="F24" s="3">
        <v>356900000</v>
      </c>
      <c r="G24" s="3">
        <v>606000000</v>
      </c>
      <c r="H24" s="3">
        <v>640500000</v>
      </c>
      <c r="I24" s="3">
        <f t="shared" si="0"/>
        <v>353200000</v>
      </c>
      <c r="J24" s="3">
        <v>951600000</v>
      </c>
      <c r="K24" s="23">
        <f t="shared" si="1"/>
        <v>1.694224235560589</v>
      </c>
      <c r="L24" s="16">
        <v>10787200000</v>
      </c>
      <c r="M24" s="16">
        <v>10738100000</v>
      </c>
      <c r="N24" s="16">
        <v>9352900000</v>
      </c>
      <c r="O24" s="16">
        <v>10824200000</v>
      </c>
      <c r="P24" s="16">
        <f t="shared" si="2"/>
        <v>10425600000</v>
      </c>
      <c r="Q24" s="16">
        <v>9378600000</v>
      </c>
      <c r="R24" s="4">
        <f t="shared" si="3"/>
        <v>3.3878146101903005E-2</v>
      </c>
      <c r="S24" s="4">
        <f t="shared" si="4"/>
        <v>0.10146503742562855</v>
      </c>
      <c r="T24" s="4">
        <f t="shared" si="5"/>
        <v>6.7586891323725556E-2</v>
      </c>
      <c r="U24" s="3">
        <f t="shared" si="6"/>
        <v>598400000</v>
      </c>
      <c r="V24" s="25">
        <v>0</v>
      </c>
      <c r="W24" s="3">
        <f t="shared" si="7"/>
        <v>0</v>
      </c>
      <c r="X24" s="3">
        <f t="shared" si="8"/>
        <v>335540000</v>
      </c>
      <c r="Y24" s="3">
        <f t="shared" si="9"/>
        <v>616060000</v>
      </c>
      <c r="Z24" s="17">
        <f t="shared" si="10"/>
        <v>585257000</v>
      </c>
      <c r="AA24" s="17">
        <f>(0.95*I24)*0.28</f>
        <v>93951200.000000015</v>
      </c>
      <c r="AB24" s="5">
        <f t="shared" si="12"/>
        <v>0.71375388818831442</v>
      </c>
      <c r="AC24" s="18">
        <v>44012</v>
      </c>
      <c r="AD24" s="15" t="s">
        <v>69</v>
      </c>
    </row>
    <row r="25" spans="1:30" x14ac:dyDescent="0.3">
      <c r="A25" s="14" t="s">
        <v>150</v>
      </c>
      <c r="B25" s="15" t="s">
        <v>20</v>
      </c>
      <c r="C25" s="15" t="s">
        <v>89</v>
      </c>
      <c r="D25" s="32" t="s">
        <v>122</v>
      </c>
      <c r="E25" s="3">
        <v>4488100000</v>
      </c>
      <c r="F25" s="3">
        <v>4614700000</v>
      </c>
      <c r="G25" s="3">
        <v>5543600000</v>
      </c>
      <c r="H25" s="3">
        <v>5713800000</v>
      </c>
      <c r="I25" s="3">
        <f t="shared" si="0"/>
        <v>5090050000</v>
      </c>
      <c r="J25" s="3">
        <v>5624000000</v>
      </c>
      <c r="K25" s="4">
        <f t="shared" si="1"/>
        <v>0.10490073771377495</v>
      </c>
      <c r="L25" s="3">
        <v>44255000000</v>
      </c>
      <c r="M25" s="3">
        <v>50958000000</v>
      </c>
      <c r="N25" s="3">
        <v>62738000000</v>
      </c>
      <c r="O25" s="3">
        <v>82155000000</v>
      </c>
      <c r="P25" s="16">
        <f t="shared" si="2"/>
        <v>60026500000</v>
      </c>
      <c r="Q25" s="16">
        <v>69767000000</v>
      </c>
      <c r="R25" s="4">
        <f t="shared" si="3"/>
        <v>8.4796714784303603E-2</v>
      </c>
      <c r="S25" s="4">
        <f t="shared" si="4"/>
        <v>8.0611177204122295E-2</v>
      </c>
      <c r="T25" s="4">
        <f t="shared" si="5"/>
        <v>-4.1855375801813088E-3</v>
      </c>
      <c r="U25" s="3">
        <f t="shared" si="6"/>
        <v>533950000</v>
      </c>
      <c r="V25" s="39">
        <v>0</v>
      </c>
      <c r="W25" s="3">
        <f t="shared" si="7"/>
        <v>0</v>
      </c>
      <c r="X25" s="3">
        <f t="shared" si="8"/>
        <v>4835547500</v>
      </c>
      <c r="Y25" s="3">
        <f t="shared" si="9"/>
        <v>788452500</v>
      </c>
      <c r="Z25" s="17">
        <f t="shared" si="10"/>
        <v>749029875</v>
      </c>
      <c r="AA25" s="17">
        <f>(0.95*I25)*0.15</f>
        <v>725332125</v>
      </c>
      <c r="AB25" s="5">
        <f t="shared" si="12"/>
        <v>0.26215540540540538</v>
      </c>
      <c r="AC25" s="18">
        <v>44012</v>
      </c>
      <c r="AD25" s="15" t="s">
        <v>69</v>
      </c>
    </row>
    <row r="26" spans="1:30" x14ac:dyDescent="0.3">
      <c r="A26" s="14" t="s">
        <v>148</v>
      </c>
      <c r="B26" s="32" t="s">
        <v>14</v>
      </c>
      <c r="C26" s="3" t="s">
        <v>129</v>
      </c>
      <c r="D26" s="3" t="s">
        <v>129</v>
      </c>
      <c r="E26" s="3">
        <v>1909000000</v>
      </c>
      <c r="F26" s="3">
        <v>1346000000</v>
      </c>
      <c r="G26" s="3">
        <v>-1616000000</v>
      </c>
      <c r="H26" s="3">
        <v>1028000000</v>
      </c>
      <c r="I26" s="3">
        <f t="shared" si="0"/>
        <v>666750000</v>
      </c>
      <c r="J26" s="3">
        <v>1173800000</v>
      </c>
      <c r="K26" s="4">
        <f t="shared" si="1"/>
        <v>0.76047994000749908</v>
      </c>
      <c r="L26" s="16">
        <v>20083000000</v>
      </c>
      <c r="M26" s="16">
        <v>23809000000</v>
      </c>
      <c r="N26" s="16">
        <v>21685000000</v>
      </c>
      <c r="O26" s="16">
        <v>20171000000</v>
      </c>
      <c r="P26" s="16">
        <f t="shared" si="2"/>
        <v>21437000000</v>
      </c>
      <c r="Q26" s="16">
        <v>18837500000</v>
      </c>
      <c r="R26" s="4">
        <f t="shared" si="3"/>
        <v>3.1102766245276858E-2</v>
      </c>
      <c r="S26" s="4">
        <f t="shared" si="4"/>
        <v>6.2311877903118776E-2</v>
      </c>
      <c r="T26" s="4">
        <f t="shared" si="5"/>
        <v>3.1209111657841918E-2</v>
      </c>
      <c r="U26" s="3">
        <f t="shared" si="6"/>
        <v>507050000</v>
      </c>
      <c r="V26" s="33">
        <v>0</v>
      </c>
      <c r="W26" s="3">
        <v>0</v>
      </c>
      <c r="X26" s="3">
        <f t="shared" si="8"/>
        <v>633412500</v>
      </c>
      <c r="Y26" s="3">
        <f t="shared" si="9"/>
        <v>540387500</v>
      </c>
      <c r="Z26" s="17">
        <f t="shared" si="10"/>
        <v>513368125</v>
      </c>
      <c r="AA26" s="17">
        <f>(0.95*I26)*0.24</f>
        <v>152019000</v>
      </c>
      <c r="AB26" s="5">
        <f t="shared" si="12"/>
        <v>0.56686584171068322</v>
      </c>
      <c r="AC26" s="18">
        <v>44012</v>
      </c>
      <c r="AD26" s="15" t="s">
        <v>69</v>
      </c>
    </row>
    <row r="27" spans="1:30" x14ac:dyDescent="0.3">
      <c r="A27" s="14" t="s">
        <v>152</v>
      </c>
      <c r="B27" s="32" t="s">
        <v>24</v>
      </c>
      <c r="C27" s="32" t="s">
        <v>125</v>
      </c>
      <c r="D27" s="32" t="s">
        <v>125</v>
      </c>
      <c r="E27" s="3">
        <v>5385000000</v>
      </c>
      <c r="F27" s="3">
        <v>6149000000</v>
      </c>
      <c r="G27" s="3">
        <v>5925000000</v>
      </c>
      <c r="H27" s="3">
        <v>5850000000</v>
      </c>
      <c r="I27" s="3">
        <f t="shared" si="0"/>
        <v>5827250000</v>
      </c>
      <c r="J27" s="3">
        <v>6253700000</v>
      </c>
      <c r="K27" s="4">
        <f t="shared" si="1"/>
        <v>7.3182032691235133E-2</v>
      </c>
      <c r="L27" s="16">
        <v>15871000000</v>
      </c>
      <c r="M27" s="16">
        <v>18014000000</v>
      </c>
      <c r="N27" s="16">
        <v>17152000000</v>
      </c>
      <c r="O27" s="16">
        <v>18325000000</v>
      </c>
      <c r="P27" s="16">
        <f t="shared" si="2"/>
        <v>17340500000</v>
      </c>
      <c r="Q27" s="16">
        <v>19104500000</v>
      </c>
      <c r="R27" s="4">
        <f t="shared" si="3"/>
        <v>0.33604855684668838</v>
      </c>
      <c r="S27" s="4">
        <f t="shared" si="4"/>
        <v>0.32734172577141513</v>
      </c>
      <c r="T27" s="4">
        <f t="shared" si="5"/>
        <v>-8.7068310752732581E-3</v>
      </c>
      <c r="U27" s="3">
        <f t="shared" si="6"/>
        <v>426450000</v>
      </c>
      <c r="V27" s="3">
        <v>2204000000</v>
      </c>
      <c r="W27" s="3">
        <f t="shared" ref="W27:W32" si="13">V27*0.08</f>
        <v>176320000</v>
      </c>
      <c r="X27" s="3">
        <f t="shared" si="8"/>
        <v>5712207500</v>
      </c>
      <c r="Y27" s="3">
        <f t="shared" si="9"/>
        <v>541492500</v>
      </c>
      <c r="Z27" s="17">
        <f t="shared" si="10"/>
        <v>514417875</v>
      </c>
      <c r="AA27" s="17">
        <f>(0.95*I27)*0.22</f>
        <v>1217895250</v>
      </c>
      <c r="AB27" s="5">
        <f t="shared" si="12"/>
        <v>0.27700611238147016</v>
      </c>
      <c r="AC27" s="18">
        <v>44012</v>
      </c>
      <c r="AD27" s="15" t="s">
        <v>69</v>
      </c>
    </row>
    <row r="28" spans="1:30" x14ac:dyDescent="0.3">
      <c r="A28" s="14" t="s">
        <v>153</v>
      </c>
      <c r="B28" s="15" t="s">
        <v>128</v>
      </c>
      <c r="C28" s="15" t="s">
        <v>91</v>
      </c>
      <c r="D28" s="32" t="s">
        <v>122</v>
      </c>
      <c r="E28" s="3">
        <v>63000000</v>
      </c>
      <c r="F28" s="3">
        <v>-191000000</v>
      </c>
      <c r="G28" s="3">
        <v>133000000</v>
      </c>
      <c r="H28" s="3">
        <v>-12000000</v>
      </c>
      <c r="I28" s="3">
        <f t="shared" si="0"/>
        <v>-1750000</v>
      </c>
      <c r="J28" s="3">
        <v>295000000</v>
      </c>
      <c r="K28" s="4">
        <f t="shared" si="1"/>
        <v>-169.57142857142858</v>
      </c>
      <c r="L28" s="3">
        <v>4223000000</v>
      </c>
      <c r="M28" s="3">
        <v>3394000000</v>
      </c>
      <c r="N28" s="3">
        <v>3336000000</v>
      </c>
      <c r="O28" s="3">
        <v>3525000000</v>
      </c>
      <c r="P28" s="16">
        <f t="shared" si="2"/>
        <v>3619500000</v>
      </c>
      <c r="Q28" s="3">
        <v>3906000000</v>
      </c>
      <c r="R28" s="4">
        <f t="shared" si="3"/>
        <v>-4.8349219505456557E-4</v>
      </c>
      <c r="S28" s="4">
        <f t="shared" si="4"/>
        <v>7.5524833589349721E-2</v>
      </c>
      <c r="T28" s="4">
        <f t="shared" si="5"/>
        <v>7.6008325784404293E-2</v>
      </c>
      <c r="U28" s="3">
        <f t="shared" si="6"/>
        <v>296750000</v>
      </c>
      <c r="V28" s="39">
        <v>0</v>
      </c>
      <c r="W28" s="3">
        <f t="shared" si="13"/>
        <v>0</v>
      </c>
      <c r="X28" s="3">
        <f t="shared" si="8"/>
        <v>-1662500</v>
      </c>
      <c r="Y28" s="3">
        <f t="shared" si="9"/>
        <v>296662500</v>
      </c>
      <c r="Z28" s="17">
        <f t="shared" si="10"/>
        <v>281829375</v>
      </c>
      <c r="AA28" s="17">
        <f>(0.95*I28)*0.28</f>
        <v>-465500.00000000006</v>
      </c>
      <c r="AB28" s="5">
        <f t="shared" si="12"/>
        <v>0.95377584745762711</v>
      </c>
      <c r="AC28" s="18">
        <v>44012</v>
      </c>
      <c r="AD28" s="15" t="s">
        <v>69</v>
      </c>
    </row>
    <row r="29" spans="1:30" x14ac:dyDescent="0.3">
      <c r="A29" s="14" t="s">
        <v>151</v>
      </c>
      <c r="B29" s="15" t="s">
        <v>20</v>
      </c>
      <c r="C29" s="15" t="s">
        <v>89</v>
      </c>
      <c r="D29" s="32" t="s">
        <v>122</v>
      </c>
      <c r="E29" s="3">
        <v>899000000</v>
      </c>
      <c r="F29" s="3">
        <v>1150000000</v>
      </c>
      <c r="G29" s="3">
        <v>1261000000</v>
      </c>
      <c r="H29" s="3">
        <v>1448000000</v>
      </c>
      <c r="I29" s="3">
        <f t="shared" si="0"/>
        <v>1189500000</v>
      </c>
      <c r="J29" s="3">
        <v>1403900000</v>
      </c>
      <c r="K29" s="4">
        <f t="shared" si="1"/>
        <v>0.18024379991593098</v>
      </c>
      <c r="L29" s="3">
        <v>3116000000</v>
      </c>
      <c r="M29" s="3">
        <v>3966000000</v>
      </c>
      <c r="N29" s="3">
        <v>4603000000</v>
      </c>
      <c r="O29" s="3">
        <v>5060000000</v>
      </c>
      <c r="P29" s="16">
        <f t="shared" si="2"/>
        <v>4186250000</v>
      </c>
      <c r="Q29" s="3">
        <v>5033400000</v>
      </c>
      <c r="R29" s="4">
        <f t="shared" si="3"/>
        <v>0.28414452075246344</v>
      </c>
      <c r="S29" s="4">
        <f t="shared" si="4"/>
        <v>0.27891683553860214</v>
      </c>
      <c r="T29" s="4">
        <f t="shared" si="5"/>
        <v>-5.2276852138612995E-3</v>
      </c>
      <c r="U29" s="3">
        <f t="shared" si="6"/>
        <v>214400000</v>
      </c>
      <c r="V29" s="3">
        <v>29000</v>
      </c>
      <c r="W29" s="3">
        <f t="shared" si="13"/>
        <v>2320</v>
      </c>
      <c r="X29" s="3">
        <f t="shared" si="8"/>
        <v>1130027320</v>
      </c>
      <c r="Y29" s="3">
        <f t="shared" si="9"/>
        <v>273872680</v>
      </c>
      <c r="Z29" s="17">
        <f t="shared" si="10"/>
        <v>260179046</v>
      </c>
      <c r="AA29" s="17">
        <f>(0.95*I29)*0.15</f>
        <v>169503750</v>
      </c>
      <c r="AB29" s="5">
        <f t="shared" si="12"/>
        <v>0.30606367690006409</v>
      </c>
      <c r="AC29" s="18">
        <v>44012</v>
      </c>
      <c r="AD29" s="15" t="s">
        <v>177</v>
      </c>
    </row>
    <row r="30" spans="1:30" x14ac:dyDescent="0.3">
      <c r="A30" s="14" t="s">
        <v>39</v>
      </c>
      <c r="B30" s="14" t="s">
        <v>24</v>
      </c>
      <c r="C30" s="38" t="s">
        <v>66</v>
      </c>
      <c r="D30" s="38" t="s">
        <v>120</v>
      </c>
      <c r="E30" s="3">
        <v>7215000000</v>
      </c>
      <c r="F30" s="3">
        <v>21308000000</v>
      </c>
      <c r="G30" s="3">
        <v>11153000000</v>
      </c>
      <c r="H30" s="3">
        <v>16273000000</v>
      </c>
      <c r="I30" s="3">
        <f t="shared" si="0"/>
        <v>13987250000</v>
      </c>
      <c r="J30" s="3">
        <v>14172000000</v>
      </c>
      <c r="K30" s="4">
        <f t="shared" si="1"/>
        <v>1.3208457702550636E-2</v>
      </c>
      <c r="L30" s="16">
        <v>52824000000</v>
      </c>
      <c r="M30" s="16">
        <v>52546000000</v>
      </c>
      <c r="N30" s="16">
        <v>53647000000</v>
      </c>
      <c r="O30" s="16">
        <v>51750000000</v>
      </c>
      <c r="P30" s="16">
        <f t="shared" si="2"/>
        <v>52691750000</v>
      </c>
      <c r="Q30" s="3">
        <v>49197000000</v>
      </c>
      <c r="R30" s="4">
        <f t="shared" si="3"/>
        <v>0.26545426940650102</v>
      </c>
      <c r="S30" s="4">
        <f t="shared" si="4"/>
        <v>0.2880663455088725</v>
      </c>
      <c r="T30" s="4">
        <f t="shared" si="5"/>
        <v>2.2612076102371481E-2</v>
      </c>
      <c r="U30" s="3">
        <f t="shared" si="6"/>
        <v>184750000</v>
      </c>
      <c r="V30" s="3">
        <v>8089000000</v>
      </c>
      <c r="W30" s="3">
        <f t="shared" si="13"/>
        <v>647120000</v>
      </c>
      <c r="X30" s="3">
        <f t="shared" si="8"/>
        <v>13935007500</v>
      </c>
      <c r="Y30" s="3">
        <f t="shared" si="9"/>
        <v>236992500</v>
      </c>
      <c r="Z30" s="17">
        <f t="shared" si="10"/>
        <v>225142875</v>
      </c>
      <c r="AA30" s="17">
        <f>(0.95*I30)*0.21</f>
        <v>2790456375</v>
      </c>
      <c r="AB30" s="5">
        <f t="shared" si="12"/>
        <v>0.21278572184589331</v>
      </c>
      <c r="AC30" s="18">
        <v>44010</v>
      </c>
      <c r="AD30" s="15" t="s">
        <v>69</v>
      </c>
    </row>
    <row r="31" spans="1:30" x14ac:dyDescent="0.3">
      <c r="A31" s="14" t="s">
        <v>154</v>
      </c>
      <c r="B31" s="15" t="s">
        <v>13</v>
      </c>
      <c r="C31" s="15" t="s">
        <v>89</v>
      </c>
      <c r="D31" s="32" t="s">
        <v>122</v>
      </c>
      <c r="E31" s="3">
        <v>3662000000</v>
      </c>
      <c r="F31" s="3">
        <v>4057300000</v>
      </c>
      <c r="G31" s="3">
        <v>3968700000</v>
      </c>
      <c r="H31" s="3">
        <v>4542400000</v>
      </c>
      <c r="I31" s="3">
        <f t="shared" si="0"/>
        <v>4057600000</v>
      </c>
      <c r="J31" s="3">
        <v>4132600000</v>
      </c>
      <c r="K31" s="4">
        <f t="shared" si="1"/>
        <v>1.8483832807570932E-2</v>
      </c>
      <c r="L31" s="16">
        <v>16393000000</v>
      </c>
      <c r="M31" s="16">
        <v>18206000000</v>
      </c>
      <c r="N31" s="16">
        <v>18917000000</v>
      </c>
      <c r="O31" s="16">
        <v>21139000000</v>
      </c>
      <c r="P31" s="16">
        <f t="shared" si="2"/>
        <v>18663750000</v>
      </c>
      <c r="Q31" s="16">
        <v>20797000000</v>
      </c>
      <c r="R31" s="4">
        <f t="shared" si="3"/>
        <v>0.21740539816489182</v>
      </c>
      <c r="S31" s="4">
        <f t="shared" si="4"/>
        <v>0.19871135259893255</v>
      </c>
      <c r="T31" s="4">
        <f t="shared" si="5"/>
        <v>-1.8694045565959272E-2</v>
      </c>
      <c r="U31" s="3">
        <f t="shared" si="6"/>
        <v>75000000</v>
      </c>
      <c r="V31" s="39">
        <v>0</v>
      </c>
      <c r="W31" s="3">
        <f t="shared" si="13"/>
        <v>0</v>
      </c>
      <c r="X31" s="3">
        <f t="shared" si="8"/>
        <v>3854720000</v>
      </c>
      <c r="Y31" s="3">
        <f t="shared" si="9"/>
        <v>277880000</v>
      </c>
      <c r="Z31" s="52">
        <f t="shared" si="10"/>
        <v>263986000</v>
      </c>
      <c r="AA31" s="17">
        <f>(0.95*I31)*0.15</f>
        <v>578208000</v>
      </c>
      <c r="AB31" s="5">
        <f t="shared" si="12"/>
        <v>0.20379276968494411</v>
      </c>
      <c r="AC31" s="18">
        <v>44012</v>
      </c>
      <c r="AD31" s="15" t="s">
        <v>69</v>
      </c>
    </row>
    <row r="32" spans="1:30" x14ac:dyDescent="0.3">
      <c r="A32" s="15" t="s">
        <v>158</v>
      </c>
      <c r="B32" s="15" t="s">
        <v>127</v>
      </c>
      <c r="C32" s="15" t="s">
        <v>93</v>
      </c>
      <c r="D32" s="32" t="s">
        <v>122</v>
      </c>
      <c r="E32" s="3" t="s">
        <v>82</v>
      </c>
      <c r="F32" s="3">
        <v>9000000</v>
      </c>
      <c r="G32" s="3">
        <v>175700000</v>
      </c>
      <c r="H32" s="3">
        <v>167400000</v>
      </c>
      <c r="I32" s="3">
        <f t="shared" si="0"/>
        <v>117366666.66666667</v>
      </c>
      <c r="J32" s="3">
        <v>167300000</v>
      </c>
      <c r="K32" s="4">
        <f t="shared" si="1"/>
        <v>0.4254473161033796</v>
      </c>
      <c r="L32" s="3" t="s">
        <v>82</v>
      </c>
      <c r="M32" s="3">
        <v>54400000</v>
      </c>
      <c r="N32" s="3">
        <v>326400000</v>
      </c>
      <c r="O32" s="3">
        <v>484900000</v>
      </c>
      <c r="P32" s="16">
        <f t="shared" si="2"/>
        <v>288566666.66666669</v>
      </c>
      <c r="Q32" s="16">
        <v>482400000</v>
      </c>
      <c r="R32" s="4">
        <f t="shared" si="3"/>
        <v>0.40672288321589462</v>
      </c>
      <c r="S32" s="4">
        <f t="shared" si="4"/>
        <v>0.34680762852404645</v>
      </c>
      <c r="T32" s="4">
        <f t="shared" si="5"/>
        <v>-5.9915254691848163E-2</v>
      </c>
      <c r="U32" s="3">
        <f t="shared" si="6"/>
        <v>49933333.333333328</v>
      </c>
      <c r="V32" s="15">
        <v>0</v>
      </c>
      <c r="W32" s="3">
        <f t="shared" si="13"/>
        <v>0</v>
      </c>
      <c r="X32" s="3">
        <f t="shared" si="8"/>
        <v>111498333.33333333</v>
      </c>
      <c r="Y32" s="3">
        <f t="shared" si="9"/>
        <v>55801666.666666672</v>
      </c>
      <c r="Z32" s="17">
        <f t="shared" si="10"/>
        <v>53011583.333333336</v>
      </c>
      <c r="AA32" s="17">
        <f>(0.95*I32)*0.3</f>
        <v>33449499.999999996</v>
      </c>
      <c r="AB32" s="5">
        <f t="shared" si="12"/>
        <v>0.51680264993026492</v>
      </c>
      <c r="AC32" s="18">
        <v>44012</v>
      </c>
      <c r="AD32" s="15" t="s">
        <v>177</v>
      </c>
    </row>
    <row r="33" spans="1:30" x14ac:dyDescent="0.3">
      <c r="A33" s="14" t="s">
        <v>198</v>
      </c>
      <c r="B33" s="32" t="s">
        <v>19</v>
      </c>
      <c r="C33" s="32" t="s">
        <v>77</v>
      </c>
      <c r="D33" s="32" t="s">
        <v>77</v>
      </c>
      <c r="E33" s="3">
        <v>5093400000</v>
      </c>
      <c r="F33" s="3">
        <v>7844500000</v>
      </c>
      <c r="G33" s="3">
        <v>7836000000</v>
      </c>
      <c r="H33" s="3">
        <v>8077700000</v>
      </c>
      <c r="I33" s="3">
        <f t="shared" si="0"/>
        <v>7212900000</v>
      </c>
      <c r="J33" s="3">
        <v>7231600000</v>
      </c>
      <c r="K33" s="4">
        <f t="shared" si="1"/>
        <v>2.59257718809347E-3</v>
      </c>
      <c r="L33" s="16">
        <v>29547000000</v>
      </c>
      <c r="M33" s="16">
        <v>36560000000</v>
      </c>
      <c r="N33" s="16">
        <v>35731000000</v>
      </c>
      <c r="O33" s="16">
        <v>35435000000</v>
      </c>
      <c r="P33" s="16">
        <f t="shared" si="2"/>
        <v>34318250000</v>
      </c>
      <c r="Q33" s="16">
        <v>33871000000</v>
      </c>
      <c r="R33" s="4">
        <f t="shared" si="3"/>
        <v>0.21017680097324309</v>
      </c>
      <c r="S33" s="4">
        <f t="shared" si="4"/>
        <v>0.21350417761506893</v>
      </c>
      <c r="T33" s="4">
        <f t="shared" si="5"/>
        <v>3.3273766418258355E-3</v>
      </c>
      <c r="U33" s="3">
        <f t="shared" si="6"/>
        <v>18700000</v>
      </c>
      <c r="V33" s="35">
        <v>0</v>
      </c>
      <c r="W33" s="3"/>
      <c r="X33" s="3">
        <f t="shared" si="8"/>
        <v>6852255000</v>
      </c>
      <c r="Y33" s="3">
        <f t="shared" si="9"/>
        <v>379345000</v>
      </c>
      <c r="Z33" s="17">
        <f t="shared" si="10"/>
        <v>360377750</v>
      </c>
      <c r="AA33" s="17">
        <f>(0.95*I33)*0.31</f>
        <v>2124199050</v>
      </c>
      <c r="AB33" s="5">
        <f t="shared" si="12"/>
        <v>0.34357221085237016</v>
      </c>
      <c r="AC33" s="18">
        <v>44012</v>
      </c>
      <c r="AD33" s="15" t="s">
        <v>69</v>
      </c>
    </row>
    <row r="34" spans="1:30" x14ac:dyDescent="0.3">
      <c r="A34" s="14" t="s">
        <v>51</v>
      </c>
      <c r="B34" s="15" t="s">
        <v>14</v>
      </c>
      <c r="C34" s="38" t="s">
        <v>66</v>
      </c>
      <c r="D34" s="38" t="s">
        <v>66</v>
      </c>
      <c r="E34" s="3">
        <v>12976000000</v>
      </c>
      <c r="F34" s="3">
        <v>29450000000</v>
      </c>
      <c r="G34" s="3">
        <v>19370000000</v>
      </c>
      <c r="H34" s="3">
        <v>13903000000</v>
      </c>
      <c r="I34" s="3">
        <f t="shared" ref="I34:I60" si="14">AVERAGE(E34:H34)</f>
        <v>18924750000</v>
      </c>
      <c r="J34" s="3">
        <v>11985000000</v>
      </c>
      <c r="K34" s="4">
        <f t="shared" ref="K34:K60" si="15">(J34/I34)-1</f>
        <v>-0.36670233424483811</v>
      </c>
      <c r="L34" s="16">
        <v>163786000000</v>
      </c>
      <c r="M34" s="16">
        <v>160546000000</v>
      </c>
      <c r="N34" s="16">
        <v>170756000000</v>
      </c>
      <c r="O34" s="16">
        <v>181193000000</v>
      </c>
      <c r="P34" s="16">
        <f t="shared" ref="P34:P60" si="16">AVERAGE(L34:O34)</f>
        <v>169070250000</v>
      </c>
      <c r="Q34" s="3">
        <v>175138000000</v>
      </c>
      <c r="R34" s="4">
        <f t="shared" ref="R34:R60" si="17">I34/P34</f>
        <v>0.11193424035275278</v>
      </c>
      <c r="S34" s="4">
        <f t="shared" ref="S34:S60" si="18">J34/Q34</f>
        <v>6.8431750962098456E-2</v>
      </c>
      <c r="T34" s="4">
        <f t="shared" ref="T34:T60" si="19">S34-R34</f>
        <v>-4.350248939065432E-2</v>
      </c>
      <c r="U34" s="3">
        <v>0</v>
      </c>
      <c r="V34" s="3">
        <v>0</v>
      </c>
      <c r="W34" s="3">
        <f t="shared" ref="W34:W60" si="20">V34*0.08</f>
        <v>0</v>
      </c>
      <c r="X34" s="3">
        <f t="shared" si="8"/>
        <v>17978512500</v>
      </c>
      <c r="Y34" s="3">
        <f t="shared" si="9"/>
        <v>-5993512500</v>
      </c>
      <c r="Z34" s="17">
        <v>0</v>
      </c>
      <c r="AA34" s="17"/>
      <c r="AB34" s="5"/>
      <c r="AC34" s="18">
        <v>44012</v>
      </c>
      <c r="AD34" s="15" t="s">
        <v>69</v>
      </c>
    </row>
    <row r="35" spans="1:30" x14ac:dyDescent="0.3">
      <c r="A35" s="14" t="s">
        <v>165</v>
      </c>
      <c r="B35" s="14" t="s">
        <v>127</v>
      </c>
      <c r="C35" s="32" t="s">
        <v>79</v>
      </c>
      <c r="D35" s="32" t="s">
        <v>79</v>
      </c>
      <c r="E35" s="3">
        <v>4282000000</v>
      </c>
      <c r="F35" s="3">
        <v>7298000000</v>
      </c>
      <c r="G35" s="3">
        <v>5389000000</v>
      </c>
      <c r="H35" s="3">
        <v>9450000000</v>
      </c>
      <c r="I35" s="3">
        <f t="shared" si="14"/>
        <v>6604750000</v>
      </c>
      <c r="J35" s="3">
        <v>1202000000</v>
      </c>
      <c r="K35" s="4">
        <f t="shared" si="15"/>
        <v>-0.8180097656989288</v>
      </c>
      <c r="L35" s="16">
        <v>60752000000</v>
      </c>
      <c r="M35" s="16">
        <v>73515000000</v>
      </c>
      <c r="N35" s="16">
        <v>68949000000</v>
      </c>
      <c r="O35" s="16">
        <v>66565000000</v>
      </c>
      <c r="P35" s="16">
        <f t="shared" si="16"/>
        <v>67445250000</v>
      </c>
      <c r="Q35" s="16">
        <v>66031000000</v>
      </c>
      <c r="R35" s="4">
        <f t="shared" si="17"/>
        <v>9.7927578294987411E-2</v>
      </c>
      <c r="S35" s="4">
        <f t="shared" si="18"/>
        <v>1.8203571049961381E-2</v>
      </c>
      <c r="T35" s="4">
        <f t="shared" si="19"/>
        <v>-7.9724007245026027E-2</v>
      </c>
      <c r="U35" s="3">
        <v>0</v>
      </c>
      <c r="V35" s="3">
        <v>2362000000</v>
      </c>
      <c r="W35" s="3">
        <f t="shared" si="20"/>
        <v>188960000</v>
      </c>
      <c r="X35" s="3">
        <f t="shared" si="8"/>
        <v>6463472500</v>
      </c>
      <c r="Y35" s="3">
        <f t="shared" si="9"/>
        <v>-5261472500</v>
      </c>
      <c r="Z35" s="17">
        <v>0</v>
      </c>
      <c r="AA35" s="17"/>
      <c r="AB35" s="5"/>
      <c r="AC35" s="18">
        <v>44012</v>
      </c>
      <c r="AD35" s="15" t="s">
        <v>69</v>
      </c>
    </row>
    <row r="36" spans="1:30" x14ac:dyDescent="0.3">
      <c r="A36" s="49" t="s">
        <v>55</v>
      </c>
      <c r="B36" s="14" t="s">
        <v>19</v>
      </c>
      <c r="C36" s="38" t="s">
        <v>66</v>
      </c>
      <c r="D36" s="38" t="s">
        <v>66</v>
      </c>
      <c r="E36" s="3">
        <v>24074000000</v>
      </c>
      <c r="F36" s="3">
        <v>44940000000</v>
      </c>
      <c r="G36" s="3">
        <v>4021000000</v>
      </c>
      <c r="H36" s="3">
        <v>81417000000</v>
      </c>
      <c r="I36" s="3">
        <f t="shared" si="14"/>
        <v>38613000000</v>
      </c>
      <c r="J36" s="3">
        <v>22320000000</v>
      </c>
      <c r="K36" s="4">
        <f t="shared" si="15"/>
        <v>-0.4219563359490327</v>
      </c>
      <c r="L36" s="16">
        <v>223604000000</v>
      </c>
      <c r="M36" s="16">
        <v>242137000000</v>
      </c>
      <c r="N36" s="16">
        <v>225382000000</v>
      </c>
      <c r="O36" s="16">
        <v>327223000000</v>
      </c>
      <c r="P36" s="16">
        <f t="shared" si="16"/>
        <v>254586500000</v>
      </c>
      <c r="Q36" s="3">
        <v>249929000000</v>
      </c>
      <c r="R36" s="4">
        <f t="shared" si="17"/>
        <v>0.15166947186908969</v>
      </c>
      <c r="S36" s="4">
        <f t="shared" si="18"/>
        <v>8.9305362723013329E-2</v>
      </c>
      <c r="T36" s="4">
        <f t="shared" si="19"/>
        <v>-6.236410914607636E-2</v>
      </c>
      <c r="U36" s="3">
        <v>0</v>
      </c>
      <c r="V36" s="39">
        <v>0</v>
      </c>
      <c r="W36" s="3">
        <f t="shared" si="20"/>
        <v>0</v>
      </c>
      <c r="X36" s="3">
        <f t="shared" si="8"/>
        <v>36682350000</v>
      </c>
      <c r="Y36" s="3">
        <f t="shared" si="9"/>
        <v>-14362350000</v>
      </c>
      <c r="Z36" s="17">
        <v>0</v>
      </c>
      <c r="AA36" s="17"/>
      <c r="AB36" s="5"/>
      <c r="AC36" s="18">
        <v>44012</v>
      </c>
      <c r="AD36" s="15" t="s">
        <v>69</v>
      </c>
    </row>
    <row r="37" spans="1:30" x14ac:dyDescent="0.3">
      <c r="A37" s="14" t="s">
        <v>163</v>
      </c>
      <c r="B37" s="15" t="s">
        <v>14</v>
      </c>
      <c r="C37" s="15" t="s">
        <v>89</v>
      </c>
      <c r="D37" s="32" t="s">
        <v>122</v>
      </c>
      <c r="E37" s="3">
        <v>916900000</v>
      </c>
      <c r="F37" s="3">
        <v>586400000</v>
      </c>
      <c r="G37" s="3">
        <v>168900000</v>
      </c>
      <c r="H37" s="3">
        <v>59100000</v>
      </c>
      <c r="I37" s="3">
        <f t="shared" si="14"/>
        <v>432825000</v>
      </c>
      <c r="J37" s="3">
        <v>-5990000000</v>
      </c>
      <c r="K37" s="4">
        <f t="shared" si="15"/>
        <v>-14.839311500028881</v>
      </c>
      <c r="L37" s="3">
        <v>14579000000</v>
      </c>
      <c r="M37" s="3">
        <v>14753000000</v>
      </c>
      <c r="N37" s="3">
        <v>12737000000</v>
      </c>
      <c r="O37" s="3">
        <v>11699000000</v>
      </c>
      <c r="P37" s="16">
        <f t="shared" si="16"/>
        <v>13442000000</v>
      </c>
      <c r="Q37" s="16">
        <v>12054000000</v>
      </c>
      <c r="R37" s="4">
        <f t="shared" si="17"/>
        <v>3.2199449486683532E-2</v>
      </c>
      <c r="S37" s="4">
        <f t="shared" si="18"/>
        <v>-0.4969304795088767</v>
      </c>
      <c r="T37" s="4">
        <f t="shared" si="19"/>
        <v>-0.52912992899556022</v>
      </c>
      <c r="U37" s="3">
        <v>0</v>
      </c>
      <c r="V37" s="39">
        <v>0</v>
      </c>
      <c r="W37" s="3">
        <f t="shared" si="20"/>
        <v>0</v>
      </c>
      <c r="X37" s="3">
        <f t="shared" si="8"/>
        <v>411183750</v>
      </c>
      <c r="Y37" s="3">
        <f t="shared" si="9"/>
        <v>-6401183750</v>
      </c>
      <c r="Z37" s="17">
        <v>0</v>
      </c>
      <c r="AB37" s="5"/>
      <c r="AC37" s="18">
        <v>44012</v>
      </c>
      <c r="AD37" s="15" t="s">
        <v>69</v>
      </c>
    </row>
    <row r="38" spans="1:30" x14ac:dyDescent="0.3">
      <c r="A38" s="14" t="s">
        <v>139</v>
      </c>
      <c r="B38" s="32" t="s">
        <v>16</v>
      </c>
      <c r="C38" s="32" t="s">
        <v>123</v>
      </c>
      <c r="D38" s="32" t="s">
        <v>120</v>
      </c>
      <c r="E38" s="3">
        <v>115000000</v>
      </c>
      <c r="F38" s="3">
        <v>3389000000</v>
      </c>
      <c r="G38" s="3">
        <v>9383000000</v>
      </c>
      <c r="H38" s="3">
        <v>4026000000</v>
      </c>
      <c r="I38" s="3">
        <f t="shared" si="14"/>
        <v>4228250000</v>
      </c>
      <c r="J38" s="3">
        <v>-21943000000</v>
      </c>
      <c r="K38" s="4">
        <f t="shared" si="15"/>
        <v>-6.1896174540294444</v>
      </c>
      <c r="L38" s="16">
        <v>182325000000</v>
      </c>
      <c r="M38" s="16">
        <v>238433000000</v>
      </c>
      <c r="N38" s="16">
        <v>297220000000</v>
      </c>
      <c r="O38" s="16">
        <v>276850000000</v>
      </c>
      <c r="P38" s="16">
        <f t="shared" si="16"/>
        <v>248707000000</v>
      </c>
      <c r="Q38" s="16">
        <v>229647000000</v>
      </c>
      <c r="R38" s="4">
        <f t="shared" si="17"/>
        <v>1.7000928803773116E-2</v>
      </c>
      <c r="S38" s="4">
        <f t="shared" si="18"/>
        <v>-9.5550997835808865E-2</v>
      </c>
      <c r="T38" s="4">
        <f t="shared" si="19"/>
        <v>-0.11255192663958198</v>
      </c>
      <c r="U38" s="3">
        <v>0</v>
      </c>
      <c r="V38" s="3">
        <v>0</v>
      </c>
      <c r="W38" s="3">
        <f t="shared" si="20"/>
        <v>0</v>
      </c>
      <c r="X38" s="3">
        <f t="shared" si="8"/>
        <v>4016837500</v>
      </c>
      <c r="Y38" s="3">
        <f t="shared" si="9"/>
        <v>-25959837500</v>
      </c>
      <c r="Z38" s="17">
        <v>0</v>
      </c>
      <c r="AA38" s="17"/>
      <c r="AB38" s="5"/>
      <c r="AC38" s="18">
        <v>44012</v>
      </c>
      <c r="AD38" s="15" t="s">
        <v>69</v>
      </c>
    </row>
    <row r="39" spans="1:30" x14ac:dyDescent="0.3">
      <c r="A39" s="14" t="s">
        <v>136</v>
      </c>
      <c r="B39" s="14" t="s">
        <v>14</v>
      </c>
      <c r="C39" s="38" t="s">
        <v>66</v>
      </c>
      <c r="D39" s="38" t="s">
        <v>66</v>
      </c>
      <c r="E39" s="3">
        <v>3522000000</v>
      </c>
      <c r="F39" s="3">
        <v>9895000000</v>
      </c>
      <c r="G39" s="3">
        <v>1230000000</v>
      </c>
      <c r="H39" s="3">
        <v>1668000000</v>
      </c>
      <c r="I39" s="3">
        <f t="shared" si="14"/>
        <v>4078750000</v>
      </c>
      <c r="J39" s="16">
        <v>2263000000</v>
      </c>
      <c r="K39" s="4">
        <f t="shared" si="15"/>
        <v>-0.44517315353968745</v>
      </c>
      <c r="L39" s="16">
        <v>29003000000</v>
      </c>
      <c r="M39" s="16">
        <v>41581000000</v>
      </c>
      <c r="N39" s="16">
        <v>43634000000</v>
      </c>
      <c r="O39" s="16">
        <v>45764000000</v>
      </c>
      <c r="P39" s="16">
        <f t="shared" si="16"/>
        <v>39995500000</v>
      </c>
      <c r="Q39" s="3">
        <v>46645000000</v>
      </c>
      <c r="R39" s="4">
        <f t="shared" si="17"/>
        <v>0.10198022277506219</v>
      </c>
      <c r="S39" s="4">
        <f t="shared" si="18"/>
        <v>4.8515382141708648E-2</v>
      </c>
      <c r="T39" s="4">
        <f t="shared" si="19"/>
        <v>-5.3464840633353543E-2</v>
      </c>
      <c r="U39" s="3">
        <v>0</v>
      </c>
      <c r="V39" s="3">
        <v>0</v>
      </c>
      <c r="W39" s="3">
        <f t="shared" si="20"/>
        <v>0</v>
      </c>
      <c r="X39" s="3">
        <f t="shared" si="8"/>
        <v>3874812500</v>
      </c>
      <c r="Y39" s="3">
        <f t="shared" si="9"/>
        <v>-1611812500</v>
      </c>
      <c r="Z39" s="17">
        <v>0</v>
      </c>
      <c r="AA39" s="17"/>
      <c r="AB39" s="5"/>
      <c r="AC39" s="18">
        <v>44012</v>
      </c>
      <c r="AD39" s="15" t="s">
        <v>69</v>
      </c>
    </row>
    <row r="40" spans="1:30" x14ac:dyDescent="0.3">
      <c r="A40" s="14" t="s">
        <v>58</v>
      </c>
      <c r="B40" s="14" t="s">
        <v>16</v>
      </c>
      <c r="C40" s="38" t="s">
        <v>66</v>
      </c>
      <c r="D40" s="38" t="s">
        <v>120</v>
      </c>
      <c r="E40" s="3">
        <v>-497000000</v>
      </c>
      <c r="F40" s="3">
        <v>9195000000</v>
      </c>
      <c r="G40" s="3">
        <v>14824000000</v>
      </c>
      <c r="H40" s="3">
        <v>2924000000</v>
      </c>
      <c r="I40" s="3">
        <f t="shared" si="14"/>
        <v>6611500000</v>
      </c>
      <c r="J40" s="3">
        <v>-8701000000</v>
      </c>
      <c r="K40" s="4">
        <f t="shared" si="15"/>
        <v>-2.3160402329274747</v>
      </c>
      <c r="L40" s="16">
        <v>110215000000</v>
      </c>
      <c r="M40" s="16">
        <v>134674000000</v>
      </c>
      <c r="N40" s="16">
        <v>158902000000</v>
      </c>
      <c r="O40" s="16">
        <v>139865000000</v>
      </c>
      <c r="P40" s="16">
        <f t="shared" si="16"/>
        <v>135914000000</v>
      </c>
      <c r="Q40" s="3">
        <v>114984000000</v>
      </c>
      <c r="R40" s="4">
        <f t="shared" si="17"/>
        <v>4.8644731227099489E-2</v>
      </c>
      <c r="S40" s="4">
        <f t="shared" si="18"/>
        <v>-7.56713977596883E-2</v>
      </c>
      <c r="T40" s="4">
        <f t="shared" si="19"/>
        <v>-0.12431612898678779</v>
      </c>
      <c r="U40" s="3">
        <v>0</v>
      </c>
      <c r="V40" s="3">
        <v>0</v>
      </c>
      <c r="W40" s="3">
        <f t="shared" si="20"/>
        <v>0</v>
      </c>
      <c r="X40" s="3">
        <f t="shared" si="8"/>
        <v>6280925000</v>
      </c>
      <c r="Y40" s="3">
        <f t="shared" si="9"/>
        <v>-14981925000</v>
      </c>
      <c r="Z40" s="17">
        <v>0</v>
      </c>
      <c r="AA40" s="17"/>
      <c r="AB40" s="5"/>
      <c r="AC40" s="18">
        <v>44012</v>
      </c>
      <c r="AD40" s="15" t="s">
        <v>69</v>
      </c>
    </row>
    <row r="41" spans="1:30" x14ac:dyDescent="0.3">
      <c r="A41" s="14" t="s">
        <v>49</v>
      </c>
      <c r="B41" s="14" t="s">
        <v>14</v>
      </c>
      <c r="C41" s="38" t="s">
        <v>66</v>
      </c>
      <c r="D41" s="38" t="s">
        <v>66</v>
      </c>
      <c r="E41" s="3">
        <v>8695000000</v>
      </c>
      <c r="F41" s="3">
        <v>22714000000</v>
      </c>
      <c r="G41" s="3">
        <v>11731000000</v>
      </c>
      <c r="H41" s="3">
        <v>13057000000</v>
      </c>
      <c r="I41" s="3">
        <f t="shared" si="14"/>
        <v>14049250000</v>
      </c>
      <c r="J41" s="3">
        <v>11514000000</v>
      </c>
      <c r="K41" s="4">
        <f t="shared" si="15"/>
        <v>-0.18045447265868286</v>
      </c>
      <c r="L41" s="16">
        <v>80736000000</v>
      </c>
      <c r="M41" s="16">
        <v>85029000000</v>
      </c>
      <c r="N41" s="16">
        <v>94507000000</v>
      </c>
      <c r="O41" s="16">
        <v>108942000000</v>
      </c>
      <c r="P41" s="16">
        <f t="shared" si="16"/>
        <v>92303500000</v>
      </c>
      <c r="Q41" s="3">
        <v>105549000000</v>
      </c>
      <c r="R41" s="4">
        <f t="shared" si="17"/>
        <v>0.15220712107341541</v>
      </c>
      <c r="S41" s="4">
        <f t="shared" si="18"/>
        <v>0.10908677486285991</v>
      </c>
      <c r="T41" s="4">
        <f t="shared" si="19"/>
        <v>-4.3120346210555507E-2</v>
      </c>
      <c r="U41" s="3">
        <v>0</v>
      </c>
      <c r="V41" s="3">
        <v>0</v>
      </c>
      <c r="W41" s="3">
        <f t="shared" si="20"/>
        <v>0</v>
      </c>
      <c r="X41" s="3">
        <f t="shared" si="8"/>
        <v>13346787500</v>
      </c>
      <c r="Y41" s="3">
        <f t="shared" si="9"/>
        <v>-1832787500</v>
      </c>
      <c r="Z41" s="17">
        <v>0</v>
      </c>
      <c r="AA41" s="17"/>
      <c r="AB41" s="5"/>
      <c r="AC41" s="18">
        <v>44012</v>
      </c>
      <c r="AD41" s="15" t="s">
        <v>69</v>
      </c>
    </row>
    <row r="42" spans="1:30" x14ac:dyDescent="0.3">
      <c r="A42" s="14" t="s">
        <v>159</v>
      </c>
      <c r="B42" s="15" t="s">
        <v>92</v>
      </c>
      <c r="C42" s="15" t="s">
        <v>93</v>
      </c>
      <c r="D42" s="32" t="s">
        <v>122</v>
      </c>
      <c r="E42" s="3">
        <v>490700000</v>
      </c>
      <c r="F42" s="3">
        <v>551600000</v>
      </c>
      <c r="G42" s="3">
        <v>1066700000</v>
      </c>
      <c r="H42" s="3">
        <v>555100000</v>
      </c>
      <c r="I42" s="3">
        <f t="shared" si="14"/>
        <v>666025000</v>
      </c>
      <c r="J42" s="3">
        <v>537600000</v>
      </c>
      <c r="K42" s="4">
        <f t="shared" si="15"/>
        <v>-0.19282309222626781</v>
      </c>
      <c r="L42" s="3">
        <v>2018000000</v>
      </c>
      <c r="M42" s="3">
        <v>2238000000</v>
      </c>
      <c r="N42" s="3">
        <v>2471000000</v>
      </c>
      <c r="O42" s="3">
        <v>2463000000</v>
      </c>
      <c r="P42" s="16">
        <f t="shared" si="16"/>
        <v>2297500000</v>
      </c>
      <c r="Q42" s="3">
        <v>2325000000</v>
      </c>
      <c r="R42" s="4">
        <f t="shared" si="17"/>
        <v>0.28989118607181719</v>
      </c>
      <c r="S42" s="4">
        <f t="shared" si="18"/>
        <v>0.23122580645161289</v>
      </c>
      <c r="T42" s="4">
        <f t="shared" si="19"/>
        <v>-5.8665379620204294E-2</v>
      </c>
      <c r="U42" s="3">
        <v>0</v>
      </c>
      <c r="V42" s="39">
        <v>0</v>
      </c>
      <c r="W42" s="3">
        <f t="shared" si="20"/>
        <v>0</v>
      </c>
      <c r="X42" s="3">
        <f t="shared" si="8"/>
        <v>632723750</v>
      </c>
      <c r="Y42" s="3">
        <f t="shared" si="9"/>
        <v>-95123750</v>
      </c>
      <c r="Z42" s="17">
        <v>0</v>
      </c>
      <c r="AB42" s="5"/>
      <c r="AC42" s="18">
        <v>44012</v>
      </c>
      <c r="AD42" s="15" t="s">
        <v>69</v>
      </c>
    </row>
    <row r="43" spans="1:30" x14ac:dyDescent="0.3">
      <c r="A43" s="14" t="s">
        <v>176</v>
      </c>
      <c r="B43" s="15" t="s">
        <v>20</v>
      </c>
      <c r="C43" s="15" t="s">
        <v>94</v>
      </c>
      <c r="D43" s="32" t="s">
        <v>122</v>
      </c>
      <c r="E43" s="3">
        <v>1101500000</v>
      </c>
      <c r="F43" s="3">
        <v>-532400000</v>
      </c>
      <c r="G43" s="3">
        <v>3425800000</v>
      </c>
      <c r="H43" s="3">
        <v>2661200000</v>
      </c>
      <c r="I43" s="3">
        <f t="shared" si="14"/>
        <v>1664025000</v>
      </c>
      <c r="J43" s="3">
        <v>1571100000</v>
      </c>
      <c r="K43" s="4">
        <f t="shared" si="15"/>
        <v>-5.5843511966466863E-2</v>
      </c>
      <c r="L43" s="3">
        <v>9746000000</v>
      </c>
      <c r="M43" s="3">
        <v>7402000000</v>
      </c>
      <c r="N43" s="3">
        <v>6657000000</v>
      </c>
      <c r="O43" s="3">
        <v>6898000000</v>
      </c>
      <c r="P43" s="16">
        <f t="shared" si="16"/>
        <v>7675750000</v>
      </c>
      <c r="Q43" s="3">
        <v>5969900000</v>
      </c>
      <c r="R43" s="4">
        <f t="shared" si="17"/>
        <v>0.21678989023873887</v>
      </c>
      <c r="S43" s="4">
        <f t="shared" si="18"/>
        <v>0.26317023735740969</v>
      </c>
      <c r="T43" s="4">
        <f t="shared" si="19"/>
        <v>4.6380347118670812E-2</v>
      </c>
      <c r="U43" s="3">
        <v>0</v>
      </c>
      <c r="V43" s="39">
        <v>0</v>
      </c>
      <c r="W43" s="3">
        <f t="shared" si="20"/>
        <v>0</v>
      </c>
      <c r="X43" s="3">
        <f t="shared" si="8"/>
        <v>1580823750</v>
      </c>
      <c r="Y43" s="3">
        <f t="shared" si="9"/>
        <v>-9723750</v>
      </c>
      <c r="Z43" s="17">
        <v>0</v>
      </c>
      <c r="AA43" s="17"/>
      <c r="AB43" s="5"/>
      <c r="AC43" s="18">
        <v>44012</v>
      </c>
      <c r="AD43" s="15" t="s">
        <v>69</v>
      </c>
    </row>
    <row r="44" spans="1:30" x14ac:dyDescent="0.3">
      <c r="A44" s="14" t="s">
        <v>54</v>
      </c>
      <c r="B44" s="38" t="s">
        <v>16</v>
      </c>
      <c r="C44" s="38" t="s">
        <v>66</v>
      </c>
      <c r="D44" s="38" t="s">
        <v>120</v>
      </c>
      <c r="E44" s="3">
        <v>7840000000</v>
      </c>
      <c r="F44" s="3">
        <v>19710000000</v>
      </c>
      <c r="G44" s="3">
        <v>20840000000</v>
      </c>
      <c r="H44" s="3">
        <v>14340000000</v>
      </c>
      <c r="I44" s="3">
        <f t="shared" si="14"/>
        <v>15682500000</v>
      </c>
      <c r="J44" s="16">
        <v>7170000000</v>
      </c>
      <c r="K44" s="4">
        <f t="shared" si="15"/>
        <v>-0.54280248684839782</v>
      </c>
      <c r="L44" s="16">
        <v>218608000000</v>
      </c>
      <c r="M44" s="16">
        <v>237162000000</v>
      </c>
      <c r="N44" s="16">
        <v>279332000000</v>
      </c>
      <c r="O44" s="16">
        <v>255583000000</v>
      </c>
      <c r="P44" s="16">
        <f t="shared" si="16"/>
        <v>247671250000</v>
      </c>
      <c r="Q44" s="16">
        <v>211630000000</v>
      </c>
      <c r="R44" s="4">
        <f t="shared" si="17"/>
        <v>6.3319824162069674E-2</v>
      </c>
      <c r="S44" s="4">
        <f t="shared" si="18"/>
        <v>3.3879884704436987E-2</v>
      </c>
      <c r="T44" s="4">
        <f t="shared" si="19"/>
        <v>-2.9439939457632687E-2</v>
      </c>
      <c r="U44" s="3">
        <v>0</v>
      </c>
      <c r="V44" s="3">
        <v>0</v>
      </c>
      <c r="W44" s="3">
        <f t="shared" si="20"/>
        <v>0</v>
      </c>
      <c r="X44" s="3">
        <f t="shared" si="8"/>
        <v>14898375000</v>
      </c>
      <c r="Y44" s="3">
        <f t="shared" si="9"/>
        <v>-7728375000</v>
      </c>
      <c r="Z44" s="17">
        <v>0</v>
      </c>
      <c r="AA44" s="17"/>
      <c r="AB44" s="5"/>
      <c r="AC44" s="18">
        <v>44012</v>
      </c>
      <c r="AD44" s="15" t="s">
        <v>69</v>
      </c>
    </row>
    <row r="45" spans="1:30" x14ac:dyDescent="0.3">
      <c r="A45" s="14" t="s">
        <v>161</v>
      </c>
      <c r="B45" s="15" t="s">
        <v>18</v>
      </c>
      <c r="C45" s="15" t="s">
        <v>93</v>
      </c>
      <c r="D45" s="32" t="s">
        <v>122</v>
      </c>
      <c r="E45" s="3">
        <v>73600000</v>
      </c>
      <c r="F45" s="3">
        <v>25200000</v>
      </c>
      <c r="G45" s="3">
        <v>35200000</v>
      </c>
      <c r="H45" s="3">
        <v>11400000</v>
      </c>
      <c r="I45" s="3">
        <f t="shared" si="14"/>
        <v>36350000</v>
      </c>
      <c r="J45" s="3">
        <v>26900000</v>
      </c>
      <c r="K45" s="4">
        <f t="shared" si="15"/>
        <v>-0.2599724896836314</v>
      </c>
      <c r="L45" s="3">
        <v>1725000000</v>
      </c>
      <c r="M45" s="3">
        <v>1660000000</v>
      </c>
      <c r="N45" s="3">
        <v>1507000000</v>
      </c>
      <c r="O45" s="3">
        <v>1461000000</v>
      </c>
      <c r="P45" s="16">
        <f t="shared" si="16"/>
        <v>1588250000</v>
      </c>
      <c r="Q45" s="3">
        <v>1472000000</v>
      </c>
      <c r="R45" s="4">
        <f t="shared" si="17"/>
        <v>2.2886825121989612E-2</v>
      </c>
      <c r="S45" s="4">
        <f t="shared" si="18"/>
        <v>1.8274456521739129E-2</v>
      </c>
      <c r="T45" s="4">
        <f t="shared" si="19"/>
        <v>-4.6123686002504834E-3</v>
      </c>
      <c r="U45" s="3">
        <v>0</v>
      </c>
      <c r="V45" s="77">
        <v>0</v>
      </c>
      <c r="W45" s="3">
        <f t="shared" si="20"/>
        <v>0</v>
      </c>
      <c r="X45" s="3"/>
      <c r="Y45" s="3"/>
      <c r="Z45" s="17">
        <f>Y45*0.95</f>
        <v>0</v>
      </c>
      <c r="AC45" s="18">
        <v>43921</v>
      </c>
      <c r="AD45" s="15" t="s">
        <v>137</v>
      </c>
    </row>
    <row r="46" spans="1:30" x14ac:dyDescent="0.3">
      <c r="A46" s="14" t="s">
        <v>155</v>
      </c>
      <c r="B46" s="32" t="s">
        <v>13</v>
      </c>
      <c r="C46" s="32" t="s">
        <v>66</v>
      </c>
      <c r="D46" s="32" t="s">
        <v>120</v>
      </c>
      <c r="E46" s="3">
        <v>11872000000</v>
      </c>
      <c r="F46" s="3">
        <v>5753000000</v>
      </c>
      <c r="G46" s="3">
        <v>8728000000</v>
      </c>
      <c r="H46" s="3">
        <v>9431000000</v>
      </c>
      <c r="I46" s="3">
        <f t="shared" si="14"/>
        <v>8946000000</v>
      </c>
      <c r="J46" s="3">
        <v>7878000000</v>
      </c>
      <c r="K46" s="4">
        <f t="shared" si="15"/>
        <v>-0.11938296445338703</v>
      </c>
      <c r="L46" s="16">
        <v>79919000000</v>
      </c>
      <c r="M46" s="16">
        <v>79139000000</v>
      </c>
      <c r="N46" s="16">
        <v>79591000000</v>
      </c>
      <c r="O46" s="16">
        <v>77147000000</v>
      </c>
      <c r="P46" s="16">
        <f t="shared" si="16"/>
        <v>78949000000</v>
      </c>
      <c r="Q46" s="16">
        <v>75499000000</v>
      </c>
      <c r="R46" s="4">
        <f t="shared" si="17"/>
        <v>0.11331365818439752</v>
      </c>
      <c r="S46" s="4">
        <f t="shared" si="18"/>
        <v>0.10434575292387979</v>
      </c>
      <c r="T46" s="4">
        <f t="shared" si="19"/>
        <v>-8.9679052605177306E-3</v>
      </c>
      <c r="U46" s="3">
        <v>0</v>
      </c>
      <c r="V46" s="41">
        <v>6303000000</v>
      </c>
      <c r="W46" s="3">
        <f t="shared" si="20"/>
        <v>504240000</v>
      </c>
      <c r="X46" s="3">
        <f t="shared" ref="X46:X60" si="21">W46+(0.95*I46)</f>
        <v>9002940000</v>
      </c>
      <c r="Y46" s="3">
        <f t="shared" ref="Y46:Y60" si="22">J46-X46</f>
        <v>-1124940000</v>
      </c>
      <c r="Z46" s="17">
        <v>0</v>
      </c>
      <c r="AA46" s="17"/>
      <c r="AB46" s="5"/>
      <c r="AC46" s="18">
        <v>44012</v>
      </c>
      <c r="AD46" s="15" t="s">
        <v>69</v>
      </c>
    </row>
    <row r="47" spans="1:30" x14ac:dyDescent="0.3">
      <c r="A47" s="14" t="s">
        <v>167</v>
      </c>
      <c r="B47" s="15" t="s">
        <v>18</v>
      </c>
      <c r="C47" s="15" t="s">
        <v>94</v>
      </c>
      <c r="D47" s="32" t="s">
        <v>122</v>
      </c>
      <c r="E47" s="3">
        <v>71800000</v>
      </c>
      <c r="F47" s="3">
        <v>161300000</v>
      </c>
      <c r="G47" s="3">
        <v>6500000</v>
      </c>
      <c r="H47" s="3">
        <v>1509700000</v>
      </c>
      <c r="I47" s="3">
        <f t="shared" si="14"/>
        <v>437325000</v>
      </c>
      <c r="J47" s="3">
        <v>-184900000</v>
      </c>
      <c r="K47" s="4">
        <f t="shared" si="15"/>
        <v>-1.4227976905047734</v>
      </c>
      <c r="L47" s="3">
        <v>52356000000</v>
      </c>
      <c r="M47" s="3">
        <v>49257000000</v>
      </c>
      <c r="N47" s="3">
        <v>46930000000</v>
      </c>
      <c r="O47" s="3">
        <v>50882000000</v>
      </c>
      <c r="P47" s="16">
        <f t="shared" si="16"/>
        <v>49856250000</v>
      </c>
      <c r="Q47" s="3">
        <v>41842000000</v>
      </c>
      <c r="R47" s="4">
        <f t="shared" si="17"/>
        <v>8.7717186912373065E-3</v>
      </c>
      <c r="S47" s="4">
        <f t="shared" si="18"/>
        <v>-4.4190048276851008E-3</v>
      </c>
      <c r="T47" s="4">
        <f t="shared" si="19"/>
        <v>-1.3190723518922406E-2</v>
      </c>
      <c r="U47" s="3">
        <v>0</v>
      </c>
      <c r="V47" s="72">
        <v>0</v>
      </c>
      <c r="W47" s="3">
        <f t="shared" si="20"/>
        <v>0</v>
      </c>
      <c r="X47" s="3">
        <f t="shared" si="21"/>
        <v>415458750</v>
      </c>
      <c r="Y47" s="3">
        <f t="shared" si="22"/>
        <v>-600358750</v>
      </c>
      <c r="Z47" s="17">
        <v>0</v>
      </c>
      <c r="AB47" s="5"/>
      <c r="AC47" s="18">
        <v>43921</v>
      </c>
      <c r="AD47" s="15" t="s">
        <v>137</v>
      </c>
    </row>
    <row r="48" spans="1:30" x14ac:dyDescent="0.3">
      <c r="A48" s="14" t="s">
        <v>166</v>
      </c>
      <c r="B48" s="32" t="s">
        <v>18</v>
      </c>
      <c r="C48" s="32" t="s">
        <v>77</v>
      </c>
      <c r="D48" s="32" t="s">
        <v>120</v>
      </c>
      <c r="E48" s="3">
        <v>4292000000</v>
      </c>
      <c r="F48" s="3">
        <v>6442000000</v>
      </c>
      <c r="G48" s="3">
        <v>7275000000</v>
      </c>
      <c r="H48" s="3">
        <v>8047000000</v>
      </c>
      <c r="I48" s="3">
        <f t="shared" si="14"/>
        <v>6514000000</v>
      </c>
      <c r="J48" s="3">
        <v>4979700000</v>
      </c>
      <c r="K48" s="4">
        <f t="shared" si="15"/>
        <v>-0.23553883942278175</v>
      </c>
      <c r="L48" s="16">
        <v>37600000000</v>
      </c>
      <c r="M48" s="16">
        <v>42636000000</v>
      </c>
      <c r="N48" s="16">
        <v>46826000000</v>
      </c>
      <c r="O48" s="16">
        <v>53670000000</v>
      </c>
      <c r="P48" s="16">
        <f t="shared" si="16"/>
        <v>45183000000</v>
      </c>
      <c r="Q48" s="16">
        <v>52871000000</v>
      </c>
      <c r="R48" s="4">
        <f t="shared" si="17"/>
        <v>0.14416926720226633</v>
      </c>
      <c r="S48" s="4">
        <f t="shared" si="18"/>
        <v>9.4185848574833086E-2</v>
      </c>
      <c r="T48" s="4">
        <f t="shared" si="19"/>
        <v>-4.9983418627433246E-2</v>
      </c>
      <c r="U48" s="3">
        <v>0</v>
      </c>
      <c r="V48" s="35">
        <v>0</v>
      </c>
      <c r="W48" s="3">
        <f t="shared" si="20"/>
        <v>0</v>
      </c>
      <c r="X48" s="3">
        <f t="shared" si="21"/>
        <v>6188300000</v>
      </c>
      <c r="Y48" s="3">
        <f t="shared" si="22"/>
        <v>-1208600000</v>
      </c>
      <c r="Z48" s="17">
        <v>0</v>
      </c>
      <c r="AB48" s="5"/>
      <c r="AC48" s="18">
        <v>44012</v>
      </c>
      <c r="AD48" s="15" t="s">
        <v>69</v>
      </c>
    </row>
    <row r="49" spans="1:30" x14ac:dyDescent="0.3">
      <c r="A49" s="14" t="s">
        <v>160</v>
      </c>
      <c r="B49" s="15" t="s">
        <v>18</v>
      </c>
      <c r="C49" s="33" t="s">
        <v>93</v>
      </c>
      <c r="D49" s="32" t="s">
        <v>122</v>
      </c>
      <c r="E49" s="3">
        <v>93200000</v>
      </c>
      <c r="F49" s="3">
        <v>91800000</v>
      </c>
      <c r="G49" s="3">
        <v>53300000</v>
      </c>
      <c r="H49" s="3">
        <v>44500000</v>
      </c>
      <c r="I49" s="3">
        <f t="shared" si="14"/>
        <v>70700000</v>
      </c>
      <c r="J49" s="3">
        <v>21600000</v>
      </c>
      <c r="K49" s="4">
        <f t="shared" si="15"/>
        <v>-0.69448373408769448</v>
      </c>
      <c r="L49" s="3">
        <v>1029500000</v>
      </c>
      <c r="M49" s="3">
        <v>957000000</v>
      </c>
      <c r="N49" s="3">
        <v>889600000</v>
      </c>
      <c r="O49" s="3">
        <v>892300000</v>
      </c>
      <c r="P49" s="16">
        <f t="shared" si="16"/>
        <v>942100000</v>
      </c>
      <c r="Q49" s="3">
        <v>786100000</v>
      </c>
      <c r="R49" s="4">
        <f t="shared" si="17"/>
        <v>7.5045111983865834E-2</v>
      </c>
      <c r="S49" s="4">
        <f t="shared" si="18"/>
        <v>2.7477420175550184E-2</v>
      </c>
      <c r="T49" s="4">
        <f t="shared" si="19"/>
        <v>-4.7567691808315646E-2</v>
      </c>
      <c r="U49" s="3">
        <v>0</v>
      </c>
      <c r="V49" s="77">
        <v>0</v>
      </c>
      <c r="W49" s="3">
        <f t="shared" si="20"/>
        <v>0</v>
      </c>
      <c r="X49" s="3">
        <f t="shared" si="21"/>
        <v>67165000</v>
      </c>
      <c r="Y49" s="3">
        <f t="shared" si="22"/>
        <v>-45565000</v>
      </c>
      <c r="Z49" s="17">
        <v>0</v>
      </c>
      <c r="AC49" s="18">
        <v>44012</v>
      </c>
      <c r="AD49" s="15" t="s">
        <v>69</v>
      </c>
    </row>
    <row r="50" spans="1:30" x14ac:dyDescent="0.3">
      <c r="A50" s="14" t="s">
        <v>156</v>
      </c>
      <c r="B50" s="32" t="s">
        <v>24</v>
      </c>
      <c r="C50" s="32" t="s">
        <v>81</v>
      </c>
      <c r="D50" s="32" t="s">
        <v>120</v>
      </c>
      <c r="E50" s="3">
        <v>6712000000</v>
      </c>
      <c r="F50" s="3">
        <v>7703000000</v>
      </c>
      <c r="G50" s="3">
        <v>12611000000</v>
      </c>
      <c r="H50" s="3">
        <v>11732000000</v>
      </c>
      <c r="I50" s="3">
        <f t="shared" si="14"/>
        <v>9689500000</v>
      </c>
      <c r="J50" s="3">
        <v>7210000000</v>
      </c>
      <c r="K50" s="4">
        <f t="shared" si="15"/>
        <v>-0.25589555704628719</v>
      </c>
      <c r="L50" s="3">
        <v>49386000000</v>
      </c>
      <c r="M50" s="3">
        <v>43404000000</v>
      </c>
      <c r="N50" s="3">
        <v>46099000000</v>
      </c>
      <c r="O50" s="3">
        <v>48677000000</v>
      </c>
      <c r="P50" s="16">
        <f t="shared" si="16"/>
        <v>46891500000</v>
      </c>
      <c r="Q50" s="16">
        <v>49528000000</v>
      </c>
      <c r="R50" s="4">
        <f t="shared" si="17"/>
        <v>0.20663659725110095</v>
      </c>
      <c r="S50" s="4">
        <f t="shared" si="18"/>
        <v>0.14557422064286868</v>
      </c>
      <c r="T50" s="4">
        <f t="shared" si="19"/>
        <v>-6.1062376608232272E-2</v>
      </c>
      <c r="U50" s="3">
        <v>0</v>
      </c>
      <c r="V50" s="3">
        <v>8155000000</v>
      </c>
      <c r="W50" s="3">
        <f t="shared" si="20"/>
        <v>652400000</v>
      </c>
      <c r="X50" s="3">
        <f t="shared" si="21"/>
        <v>9857425000</v>
      </c>
      <c r="Y50" s="3">
        <f t="shared" si="22"/>
        <v>-2647425000</v>
      </c>
      <c r="Z50" s="17">
        <v>0</v>
      </c>
      <c r="AA50" s="17"/>
      <c r="AB50" s="5"/>
      <c r="AC50" s="18">
        <v>44012</v>
      </c>
      <c r="AD50" s="15" t="s">
        <v>69</v>
      </c>
    </row>
    <row r="51" spans="1:30" x14ac:dyDescent="0.3">
      <c r="A51" s="14" t="s">
        <v>164</v>
      </c>
      <c r="B51" s="15" t="s">
        <v>20</v>
      </c>
      <c r="C51" s="15" t="s">
        <v>89</v>
      </c>
      <c r="D51" s="32" t="s">
        <v>122</v>
      </c>
      <c r="E51" s="3">
        <v>1942700000</v>
      </c>
      <c r="F51" s="3">
        <v>3768700000</v>
      </c>
      <c r="G51" s="3">
        <v>3397000000</v>
      </c>
      <c r="H51" s="3">
        <v>4401400000</v>
      </c>
      <c r="I51" s="3">
        <f t="shared" si="14"/>
        <v>3377450000</v>
      </c>
      <c r="J51" s="3">
        <v>1448500000</v>
      </c>
      <c r="K51" s="4">
        <f t="shared" si="15"/>
        <v>-0.57112614546477369</v>
      </c>
      <c r="L51" s="3">
        <v>18721000000</v>
      </c>
      <c r="M51" s="3">
        <v>43600000000</v>
      </c>
      <c r="N51" s="3">
        <v>49590000000</v>
      </c>
      <c r="O51" s="3">
        <v>60819000000</v>
      </c>
      <c r="P51" s="16">
        <f t="shared" si="16"/>
        <v>43182500000</v>
      </c>
      <c r="Q51" s="16">
        <v>56441000000</v>
      </c>
      <c r="R51" s="4">
        <f t="shared" si="17"/>
        <v>7.8213396630579524E-2</v>
      </c>
      <c r="S51" s="4">
        <f t="shared" si="18"/>
        <v>2.5663967683067272E-2</v>
      </c>
      <c r="T51" s="4">
        <f t="shared" si="19"/>
        <v>-5.2549428947512251E-2</v>
      </c>
      <c r="U51" s="3">
        <v>0</v>
      </c>
      <c r="V51" s="39">
        <v>0</v>
      </c>
      <c r="W51" s="3">
        <f t="shared" si="20"/>
        <v>0</v>
      </c>
      <c r="X51" s="3">
        <f t="shared" si="21"/>
        <v>3208577500</v>
      </c>
      <c r="Y51" s="3">
        <f t="shared" si="22"/>
        <v>-1760077500</v>
      </c>
      <c r="Z51" s="17">
        <v>0</v>
      </c>
      <c r="AB51" s="5"/>
      <c r="AC51" s="18">
        <v>43921</v>
      </c>
      <c r="AD51" s="15" t="s">
        <v>137</v>
      </c>
    </row>
    <row r="52" spans="1:30" x14ac:dyDescent="0.3">
      <c r="A52" s="14" t="s">
        <v>140</v>
      </c>
      <c r="B52" s="15" t="s">
        <v>20</v>
      </c>
      <c r="C52" s="15" t="s">
        <v>94</v>
      </c>
      <c r="D52" s="32" t="s">
        <v>122</v>
      </c>
      <c r="E52" s="3">
        <v>-4555200000</v>
      </c>
      <c r="F52" s="3">
        <v>-134600000</v>
      </c>
      <c r="G52" s="3">
        <v>6659000000</v>
      </c>
      <c r="H52" s="3">
        <v>9985300000</v>
      </c>
      <c r="I52" s="3">
        <f t="shared" si="14"/>
        <v>2988625000</v>
      </c>
      <c r="J52" s="3">
        <v>-6204100000</v>
      </c>
      <c r="K52" s="4">
        <f t="shared" si="15"/>
        <v>-3.0759044711196619</v>
      </c>
      <c r="L52" s="3">
        <v>86836000000</v>
      </c>
      <c r="M52" s="3">
        <v>78020000000</v>
      </c>
      <c r="N52" s="3">
        <v>80142000000</v>
      </c>
      <c r="O52" s="3">
        <v>75193000000</v>
      </c>
      <c r="P52" s="16">
        <f t="shared" si="16"/>
        <v>80047750000</v>
      </c>
      <c r="Q52" s="3">
        <v>53154000000</v>
      </c>
      <c r="R52" s="4">
        <f t="shared" si="17"/>
        <v>3.7335527856810463E-2</v>
      </c>
      <c r="S52" s="4">
        <f t="shared" si="18"/>
        <v>-0.11671934379350567</v>
      </c>
      <c r="T52" s="4">
        <f t="shared" si="19"/>
        <v>-0.15405487165031612</v>
      </c>
      <c r="U52" s="3">
        <v>0</v>
      </c>
      <c r="V52" s="3">
        <v>358600000</v>
      </c>
      <c r="W52" s="3">
        <f t="shared" si="20"/>
        <v>28688000</v>
      </c>
      <c r="X52" s="3">
        <f t="shared" si="21"/>
        <v>2867881750</v>
      </c>
      <c r="Y52" s="3">
        <f t="shared" si="22"/>
        <v>-9071981750</v>
      </c>
      <c r="Z52" s="17">
        <v>0</v>
      </c>
      <c r="AB52" s="5"/>
      <c r="AC52" s="18">
        <v>44012</v>
      </c>
      <c r="AD52" s="15" t="s">
        <v>69</v>
      </c>
    </row>
    <row r="53" spans="1:30" x14ac:dyDescent="0.3">
      <c r="A53" s="14" t="s">
        <v>169</v>
      </c>
      <c r="B53" s="32" t="s">
        <v>84</v>
      </c>
      <c r="C53" s="32" t="s">
        <v>123</v>
      </c>
      <c r="D53" s="32" t="s">
        <v>120</v>
      </c>
      <c r="E53" s="3">
        <v>4617000000</v>
      </c>
      <c r="F53" s="3">
        <v>8762000000</v>
      </c>
      <c r="G53" s="3">
        <v>13638000000</v>
      </c>
      <c r="H53" s="3">
        <v>8010000000</v>
      </c>
      <c r="I53" s="3">
        <f t="shared" si="14"/>
        <v>8756750000</v>
      </c>
      <c r="J53" s="3">
        <v>7196000000</v>
      </c>
      <c r="K53" s="4">
        <f t="shared" si="15"/>
        <v>-0.17823393382247976</v>
      </c>
      <c r="L53" s="16">
        <v>33781000000</v>
      </c>
      <c r="M53" s="16">
        <v>40300000000</v>
      </c>
      <c r="N53" s="16">
        <v>40522000000</v>
      </c>
      <c r="O53" s="16">
        <v>43165000000</v>
      </c>
      <c r="P53" s="16">
        <f t="shared" si="16"/>
        <v>39442000000</v>
      </c>
      <c r="Q53" s="16">
        <v>41805000000</v>
      </c>
      <c r="R53" s="4">
        <f t="shared" si="17"/>
        <v>0.22201587140611531</v>
      </c>
      <c r="S53" s="4">
        <f t="shared" si="18"/>
        <v>0.17213252003348881</v>
      </c>
      <c r="T53" s="4">
        <f t="shared" si="19"/>
        <v>-4.9883351372626505E-2</v>
      </c>
      <c r="U53" s="3">
        <v>0</v>
      </c>
      <c r="V53" s="25">
        <v>0</v>
      </c>
      <c r="W53" s="3">
        <f t="shared" si="20"/>
        <v>0</v>
      </c>
      <c r="X53" s="3">
        <f t="shared" si="21"/>
        <v>8318912500</v>
      </c>
      <c r="Y53" s="3">
        <f t="shared" si="22"/>
        <v>-1122912500</v>
      </c>
      <c r="Z53" s="17">
        <v>0</v>
      </c>
      <c r="AA53" s="17"/>
      <c r="AB53" s="5"/>
      <c r="AC53" s="18">
        <v>44012</v>
      </c>
      <c r="AD53" s="15" t="s">
        <v>69</v>
      </c>
    </row>
    <row r="54" spans="1:30" x14ac:dyDescent="0.3">
      <c r="A54" s="14" t="s">
        <v>157</v>
      </c>
      <c r="B54" s="32" t="s">
        <v>13</v>
      </c>
      <c r="C54" s="32" t="s">
        <v>71</v>
      </c>
      <c r="D54" s="32" t="s">
        <v>120</v>
      </c>
      <c r="E54" s="3">
        <v>18619400000</v>
      </c>
      <c r="F54" s="3">
        <v>38702700000</v>
      </c>
      <c r="G54" s="3">
        <v>39425900000</v>
      </c>
      <c r="H54" s="3">
        <v>18627300000</v>
      </c>
      <c r="I54" s="3">
        <f t="shared" si="14"/>
        <v>28843825000</v>
      </c>
      <c r="J54" s="3">
        <v>18104200000</v>
      </c>
      <c r="K54" s="4">
        <f t="shared" si="15"/>
        <v>-0.3723370600119783</v>
      </c>
      <c r="L54" s="16">
        <v>167679000000</v>
      </c>
      <c r="M54" s="16">
        <v>224267000000</v>
      </c>
      <c r="N54" s="16">
        <v>218972000000</v>
      </c>
      <c r="O54" s="16">
        <v>199569000000</v>
      </c>
      <c r="P54" s="16">
        <f t="shared" si="16"/>
        <v>202621750000</v>
      </c>
      <c r="Q54" s="16">
        <v>191905000000</v>
      </c>
      <c r="R54" s="4">
        <f t="shared" si="17"/>
        <v>0.14235305439815815</v>
      </c>
      <c r="S54" s="4">
        <f t="shared" si="18"/>
        <v>9.4339386675698911E-2</v>
      </c>
      <c r="T54" s="4">
        <f t="shared" si="19"/>
        <v>-4.8013667722459241E-2</v>
      </c>
      <c r="U54" s="3">
        <v>0</v>
      </c>
      <c r="V54" s="41">
        <v>17205600000</v>
      </c>
      <c r="W54" s="3">
        <f t="shared" si="20"/>
        <v>1376448000</v>
      </c>
      <c r="X54" s="3">
        <f t="shared" si="21"/>
        <v>28778081750</v>
      </c>
      <c r="Y54" s="3">
        <f t="shared" si="22"/>
        <v>-10673881750</v>
      </c>
      <c r="Z54" s="17">
        <v>0</v>
      </c>
      <c r="AA54" s="17"/>
      <c r="AB54" s="5"/>
      <c r="AC54" s="18">
        <v>44012</v>
      </c>
      <c r="AD54" s="15" t="s">
        <v>69</v>
      </c>
    </row>
    <row r="55" spans="1:30" x14ac:dyDescent="0.3">
      <c r="A55" s="14" t="s">
        <v>141</v>
      </c>
      <c r="B55" s="15" t="s">
        <v>16</v>
      </c>
      <c r="C55" s="15" t="s">
        <v>93</v>
      </c>
      <c r="D55" s="32" t="s">
        <v>122</v>
      </c>
      <c r="E55" s="3">
        <v>-164600000</v>
      </c>
      <c r="F55" s="3">
        <v>265200000</v>
      </c>
      <c r="G55" s="3">
        <v>146600000</v>
      </c>
      <c r="H55" s="3">
        <v>277000000</v>
      </c>
      <c r="I55" s="3">
        <f t="shared" si="14"/>
        <v>131050000</v>
      </c>
      <c r="J55" s="3">
        <v>72400000</v>
      </c>
      <c r="K55" s="4">
        <f t="shared" si="15"/>
        <v>-0.44753910721098822</v>
      </c>
      <c r="L55" s="3">
        <v>254000000</v>
      </c>
      <c r="M55" s="3">
        <v>452000000</v>
      </c>
      <c r="N55" s="3">
        <v>746000000</v>
      </c>
      <c r="O55" s="3">
        <v>698000000</v>
      </c>
      <c r="P55" s="16">
        <f t="shared" si="16"/>
        <v>537500000</v>
      </c>
      <c r="Q55" s="3">
        <v>576000000</v>
      </c>
      <c r="R55" s="4">
        <f t="shared" si="17"/>
        <v>0.24381395348837209</v>
      </c>
      <c r="S55" s="4">
        <f t="shared" si="18"/>
        <v>0.12569444444444444</v>
      </c>
      <c r="T55" s="4">
        <f t="shared" si="19"/>
        <v>-0.11811950904392765</v>
      </c>
      <c r="U55" s="3">
        <v>0</v>
      </c>
      <c r="V55" s="72">
        <v>0</v>
      </c>
      <c r="W55" s="3">
        <f t="shared" si="20"/>
        <v>0</v>
      </c>
      <c r="X55" s="3">
        <f t="shared" si="21"/>
        <v>124497500</v>
      </c>
      <c r="Y55" s="3">
        <f t="shared" si="22"/>
        <v>-52097500</v>
      </c>
      <c r="Z55" s="17">
        <v>0</v>
      </c>
      <c r="AA55" s="17"/>
      <c r="AB55" s="5"/>
      <c r="AC55" s="18">
        <v>44012</v>
      </c>
      <c r="AD55" s="15" t="s">
        <v>69</v>
      </c>
    </row>
    <row r="56" spans="1:30" x14ac:dyDescent="0.3">
      <c r="A56" s="14" t="s">
        <v>138</v>
      </c>
      <c r="B56" s="32" t="s">
        <v>16</v>
      </c>
      <c r="C56" s="32" t="s">
        <v>73</v>
      </c>
      <c r="D56" s="32" t="s">
        <v>120</v>
      </c>
      <c r="E56" s="3">
        <v>4575000000</v>
      </c>
      <c r="F56" s="3">
        <v>12977000000</v>
      </c>
      <c r="G56" s="3">
        <v>23352000000</v>
      </c>
      <c r="H56" s="3">
        <v>15842000000</v>
      </c>
      <c r="I56" s="3">
        <f t="shared" si="14"/>
        <v>14186500000</v>
      </c>
      <c r="J56" s="3">
        <v>-11312000000</v>
      </c>
      <c r="K56" s="4">
        <f t="shared" si="15"/>
        <v>-1.7973777887428188</v>
      </c>
      <c r="L56" s="16">
        <v>233591000000</v>
      </c>
      <c r="M56" s="16">
        <v>305179000000</v>
      </c>
      <c r="N56" s="16">
        <v>388379000000</v>
      </c>
      <c r="O56" s="16">
        <v>344877000000</v>
      </c>
      <c r="P56" s="16">
        <f t="shared" si="16"/>
        <v>318006500000</v>
      </c>
      <c r="Q56" s="16">
        <v>263132000000</v>
      </c>
      <c r="R56" s="4">
        <f t="shared" si="17"/>
        <v>4.4610723365717364E-2</v>
      </c>
      <c r="S56" s="4">
        <f t="shared" si="18"/>
        <v>-4.2989830199291611E-2</v>
      </c>
      <c r="T56" s="4">
        <f t="shared" si="19"/>
        <v>-8.7600553565008982E-2</v>
      </c>
      <c r="U56" s="3">
        <v>0</v>
      </c>
      <c r="V56" s="3">
        <v>1000000000</v>
      </c>
      <c r="W56" s="3">
        <f t="shared" si="20"/>
        <v>80000000</v>
      </c>
      <c r="X56" s="3">
        <f t="shared" si="21"/>
        <v>13557175000</v>
      </c>
      <c r="Y56" s="3">
        <f t="shared" si="22"/>
        <v>-24869175000</v>
      </c>
      <c r="Z56" s="17">
        <v>0</v>
      </c>
      <c r="AA56" s="17"/>
      <c r="AB56" s="5"/>
      <c r="AC56" s="18">
        <v>44012</v>
      </c>
      <c r="AD56" s="15" t="s">
        <v>69</v>
      </c>
    </row>
    <row r="57" spans="1:30" x14ac:dyDescent="0.3">
      <c r="A57" s="14" t="s">
        <v>126</v>
      </c>
      <c r="B57" s="32" t="s">
        <v>16</v>
      </c>
      <c r="C57" s="32" t="s">
        <v>77</v>
      </c>
      <c r="D57" s="32" t="s">
        <v>120</v>
      </c>
      <c r="E57" s="3">
        <v>6196000000</v>
      </c>
      <c r="F57" s="3">
        <v>8631000000</v>
      </c>
      <c r="G57" s="3">
        <v>11446000000</v>
      </c>
      <c r="H57" s="3">
        <v>11267000000</v>
      </c>
      <c r="I57" s="3">
        <f t="shared" si="14"/>
        <v>9385000000</v>
      </c>
      <c r="J57" s="3">
        <v>-2935000000</v>
      </c>
      <c r="K57" s="4">
        <f t="shared" si="15"/>
        <v>-1.312733084709643</v>
      </c>
      <c r="L57" s="16">
        <v>127925000000</v>
      </c>
      <c r="M57" s="16">
        <v>149099000000</v>
      </c>
      <c r="N57" s="16">
        <v>184106000000</v>
      </c>
      <c r="O57" s="16">
        <v>176249000000</v>
      </c>
      <c r="P57" s="16">
        <f t="shared" si="16"/>
        <v>159344750000</v>
      </c>
      <c r="Q57" s="16">
        <v>146062000000</v>
      </c>
      <c r="R57" s="4">
        <f t="shared" si="17"/>
        <v>5.8897453477444343E-2</v>
      </c>
      <c r="S57" s="4">
        <f t="shared" si="18"/>
        <v>-2.0094206569812818E-2</v>
      </c>
      <c r="T57" s="4">
        <f t="shared" si="19"/>
        <v>-7.8991660047257162E-2</v>
      </c>
      <c r="U57" s="3">
        <v>0</v>
      </c>
      <c r="V57" s="3">
        <v>0</v>
      </c>
      <c r="W57" s="3">
        <f t="shared" si="20"/>
        <v>0</v>
      </c>
      <c r="X57" s="3">
        <f t="shared" si="21"/>
        <v>8915750000</v>
      </c>
      <c r="Y57" s="3">
        <f t="shared" si="22"/>
        <v>-11850750000</v>
      </c>
      <c r="Z57" s="17">
        <v>0</v>
      </c>
      <c r="AB57" s="5"/>
      <c r="AC57" s="18">
        <v>44012</v>
      </c>
      <c r="AD57" s="15" t="s">
        <v>69</v>
      </c>
    </row>
    <row r="58" spans="1:30" x14ac:dyDescent="0.3">
      <c r="A58" s="14" t="s">
        <v>162</v>
      </c>
      <c r="B58" s="32" t="s">
        <v>75</v>
      </c>
      <c r="C58" s="32" t="s">
        <v>76</v>
      </c>
      <c r="D58" s="32" t="s">
        <v>120</v>
      </c>
      <c r="E58" s="3">
        <v>20582900000</v>
      </c>
      <c r="F58" s="3">
        <v>16422500000</v>
      </c>
      <c r="G58" s="3">
        <v>23482700000</v>
      </c>
      <c r="H58" s="3">
        <v>16991900000</v>
      </c>
      <c r="I58" s="3">
        <f t="shared" si="14"/>
        <v>19370000000</v>
      </c>
      <c r="J58" s="3">
        <v>14989000000</v>
      </c>
      <c r="K58" s="4">
        <f t="shared" si="15"/>
        <v>-0.22617449664429534</v>
      </c>
      <c r="L58" s="16">
        <v>252786700000</v>
      </c>
      <c r="M58" s="16">
        <v>247508500000</v>
      </c>
      <c r="N58" s="16">
        <v>276630000000</v>
      </c>
      <c r="O58" s="16">
        <v>272770000000</v>
      </c>
      <c r="P58" s="16">
        <f t="shared" si="16"/>
        <v>262423800000</v>
      </c>
      <c r="Q58" s="16">
        <v>248689900000</v>
      </c>
      <c r="R58" s="4">
        <f t="shared" si="17"/>
        <v>7.3811902731383355E-2</v>
      </c>
      <c r="S58" s="4">
        <f t="shared" si="18"/>
        <v>6.0271848595379228E-2</v>
      </c>
      <c r="T58" s="4">
        <f t="shared" si="19"/>
        <v>-1.3540054136004127E-2</v>
      </c>
      <c r="U58" s="3">
        <v>0</v>
      </c>
      <c r="V58" s="25">
        <v>0</v>
      </c>
      <c r="W58" s="3">
        <f t="shared" si="20"/>
        <v>0</v>
      </c>
      <c r="X58" s="3">
        <f t="shared" si="21"/>
        <v>18401500000</v>
      </c>
      <c r="Y58" s="3">
        <f t="shared" si="22"/>
        <v>-3412500000</v>
      </c>
      <c r="Z58" s="17">
        <v>0</v>
      </c>
      <c r="AA58" s="17"/>
      <c r="AB58" s="5"/>
      <c r="AC58" s="18">
        <v>44012</v>
      </c>
      <c r="AD58" s="15" t="s">
        <v>69</v>
      </c>
    </row>
    <row r="59" spans="1:30" x14ac:dyDescent="0.3">
      <c r="A59" s="14" t="s">
        <v>168</v>
      </c>
      <c r="B59" s="15" t="s">
        <v>84</v>
      </c>
      <c r="C59" s="15" t="s">
        <v>94</v>
      </c>
      <c r="D59" s="32" t="s">
        <v>122</v>
      </c>
      <c r="E59" s="3">
        <v>4090000000</v>
      </c>
      <c r="F59" s="3">
        <v>5321000000</v>
      </c>
      <c r="G59" s="3">
        <v>6628000000</v>
      </c>
      <c r="H59" s="3">
        <v>-1656000000</v>
      </c>
      <c r="I59" s="3">
        <f t="shared" si="14"/>
        <v>3595750000</v>
      </c>
      <c r="J59" s="3">
        <v>1169000000</v>
      </c>
      <c r="K59" s="4">
        <f t="shared" si="15"/>
        <v>-0.67489397205033719</v>
      </c>
      <c r="L59" s="3">
        <v>29079000000</v>
      </c>
      <c r="M59" s="3">
        <v>32763000000</v>
      </c>
      <c r="N59" s="3">
        <v>34739000000</v>
      </c>
      <c r="O59" s="3">
        <v>36979000000</v>
      </c>
      <c r="P59" s="16">
        <f t="shared" si="16"/>
        <v>33390000000</v>
      </c>
      <c r="Q59" s="3">
        <v>27989000000</v>
      </c>
      <c r="R59" s="4">
        <f t="shared" si="17"/>
        <v>0.10768942797244684</v>
      </c>
      <c r="S59" s="4">
        <f t="shared" si="18"/>
        <v>4.1766408231805351E-2</v>
      </c>
      <c r="T59" s="4">
        <f t="shared" si="19"/>
        <v>-6.5923019740641492E-2</v>
      </c>
      <c r="U59" s="24">
        <v>0</v>
      </c>
      <c r="V59" s="3">
        <v>375800000</v>
      </c>
      <c r="W59" s="3">
        <f t="shared" si="20"/>
        <v>30064000</v>
      </c>
      <c r="X59" s="3">
        <f t="shared" si="21"/>
        <v>3446026500</v>
      </c>
      <c r="Y59" s="3">
        <f t="shared" si="22"/>
        <v>-2277026500</v>
      </c>
      <c r="Z59" s="17">
        <v>0</v>
      </c>
      <c r="AB59" s="5"/>
      <c r="AC59" s="18">
        <v>44012</v>
      </c>
      <c r="AD59" s="15" t="s">
        <v>69</v>
      </c>
    </row>
    <row r="60" spans="1:30" x14ac:dyDescent="0.3">
      <c r="A60" s="14" t="s">
        <v>48</v>
      </c>
      <c r="B60" s="14" t="s">
        <v>14</v>
      </c>
      <c r="C60" s="38" t="s">
        <v>66</v>
      </c>
      <c r="D60" s="38" t="s">
        <v>66</v>
      </c>
      <c r="E60" s="3">
        <v>13127000000</v>
      </c>
      <c r="F60" s="3">
        <v>30101000000</v>
      </c>
      <c r="G60" s="3">
        <v>15528000000</v>
      </c>
      <c r="H60" s="3">
        <v>19265000000</v>
      </c>
      <c r="I60" s="3">
        <f t="shared" si="14"/>
        <v>19505250000</v>
      </c>
      <c r="J60" s="3">
        <v>19145000000</v>
      </c>
      <c r="K60" s="4">
        <f t="shared" si="15"/>
        <v>-1.8469386447238612E-2</v>
      </c>
      <c r="L60" s="16">
        <v>125980000000</v>
      </c>
      <c r="M60" s="16">
        <v>126034000000</v>
      </c>
      <c r="N60" s="16">
        <v>130863000000</v>
      </c>
      <c r="O60" s="16">
        <v>131868000000</v>
      </c>
      <c r="P60" s="16">
        <f t="shared" si="16"/>
        <v>128686250000</v>
      </c>
      <c r="Q60" s="3">
        <v>129726000000</v>
      </c>
      <c r="R60" s="4">
        <f t="shared" si="17"/>
        <v>0.15157213766039496</v>
      </c>
      <c r="S60" s="4">
        <f t="shared" si="18"/>
        <v>0.1475802845998489</v>
      </c>
      <c r="T60" s="4">
        <f t="shared" si="19"/>
        <v>-3.9918530605460578E-3</v>
      </c>
      <c r="U60" s="3">
        <v>0</v>
      </c>
      <c r="V60" s="3">
        <v>0</v>
      </c>
      <c r="W60" s="3">
        <f t="shared" si="20"/>
        <v>0</v>
      </c>
      <c r="X60" s="3">
        <f t="shared" si="21"/>
        <v>18529987500</v>
      </c>
      <c r="Y60" s="3">
        <f t="shared" si="22"/>
        <v>615012500</v>
      </c>
      <c r="Z60" s="17">
        <f>Y60*0.95</f>
        <v>584261875</v>
      </c>
      <c r="AA60" s="17">
        <f>(0.95*I60)*0.21</f>
        <v>3891297375</v>
      </c>
      <c r="AB60" s="5">
        <f>(AA60+Z60)/J60</f>
        <v>0.2337717027944633</v>
      </c>
      <c r="AC60" s="18">
        <v>44012</v>
      </c>
      <c r="AD60" s="15" t="s">
        <v>69</v>
      </c>
    </row>
    <row r="61" spans="1:30" x14ac:dyDescent="0.3">
      <c r="L61" s="3"/>
      <c r="M61" s="3"/>
      <c r="N61" s="3"/>
      <c r="O61" s="3"/>
      <c r="T61" s="4"/>
      <c r="U61" s="3"/>
    </row>
    <row r="62" spans="1:30" x14ac:dyDescent="0.3">
      <c r="I62" s="3">
        <f>I10+I16+I30</f>
        <v>31645500000</v>
      </c>
      <c r="J62" s="3">
        <f>J10+J16+J30</f>
        <v>39836000000</v>
      </c>
      <c r="T62" s="4"/>
    </row>
    <row r="63" spans="1:30" x14ac:dyDescent="0.3">
      <c r="T63" s="4"/>
      <c r="V63" s="16"/>
    </row>
    <row r="64" spans="1:30" x14ac:dyDescent="0.3">
      <c r="A64" s="31" t="s">
        <v>126</v>
      </c>
      <c r="E64" s="16"/>
      <c r="F64" s="16"/>
      <c r="G64" s="16"/>
      <c r="H64" s="16"/>
      <c r="I64" s="3"/>
      <c r="J64" s="16"/>
      <c r="K64" s="23"/>
      <c r="L64" s="16"/>
      <c r="M64" s="16"/>
      <c r="N64" s="16"/>
      <c r="O64" s="16"/>
      <c r="P64" s="16"/>
      <c r="Q64" s="16"/>
      <c r="R64" s="23"/>
      <c r="S64" s="23"/>
      <c r="T64" s="4"/>
      <c r="U64" s="24">
        <f>SUM(U2:U60)</f>
        <v>109138458333.33333</v>
      </c>
      <c r="Z64" s="24">
        <f>SUM(Z2:Z60)</f>
        <v>103729964766.83333</v>
      </c>
    </row>
    <row r="65" spans="1:26" x14ac:dyDescent="0.3">
      <c r="T65" s="4"/>
    </row>
    <row r="66" spans="1:26" x14ac:dyDescent="0.3">
      <c r="A66" s="31" t="s">
        <v>66</v>
      </c>
      <c r="T66" s="4"/>
      <c r="U66" s="24">
        <f>SUMIF(C2:C60,"US",U2:U60)</f>
        <v>92578000000</v>
      </c>
      <c r="Z66" s="24">
        <f>SUMIF(C2:C60,"US",Z2:Z60)</f>
        <v>86883145375</v>
      </c>
    </row>
    <row r="67" spans="1:26" x14ac:dyDescent="0.3">
      <c r="A67" s="31" t="s">
        <v>131</v>
      </c>
      <c r="U67" s="24">
        <f>SUM(SUMIFS(U2:U60,C2:C60,{"Netherlands","UK","Italy","Switzerland","France","Germany","Denmark"}))</f>
        <v>9991025000</v>
      </c>
      <c r="Z67" s="24">
        <f>SUM(SUMIFS(Z2:Z60,C2:C60,{"Netherlands","UK","Italy","Switzerland","France","Germany","Denmark"}))</f>
        <v>9942714012.5</v>
      </c>
    </row>
    <row r="68" spans="1:26" x14ac:dyDescent="0.3">
      <c r="A68" s="31" t="s">
        <v>122</v>
      </c>
      <c r="U68" s="24">
        <f>SUMIF(D2:D60,"MICs",U2:U60)</f>
        <v>1768433333.3333333</v>
      </c>
      <c r="Z68" s="24">
        <f>SUMIF(D2:D60,"MICs",Z2:Z60)</f>
        <v>2193292879.3333335</v>
      </c>
    </row>
    <row r="69" spans="1:26" x14ac:dyDescent="0.3">
      <c r="A69" s="31"/>
      <c r="P69" s="16"/>
      <c r="U69" s="24"/>
    </row>
    <row r="70" spans="1:26" x14ac:dyDescent="0.3">
      <c r="A70" s="31" t="s">
        <v>134</v>
      </c>
      <c r="E70" s="3">
        <f>SUMIF(D2:D60,"Global",E2:E60)</f>
        <v>250456800000</v>
      </c>
      <c r="F70" s="3">
        <f>SUMIF(D2:D60,"Global",F2:F60)</f>
        <v>317041300000</v>
      </c>
      <c r="G70" s="3">
        <f>SUMIF(D2:D60,"Global",G2:G60)</f>
        <v>402408000000</v>
      </c>
      <c r="H70" s="3">
        <f>SUMIF(D2:D60,"Global",H2:H60)</f>
        <v>375220100000</v>
      </c>
      <c r="I70" s="3">
        <f t="shared" ref="I70:I71" si="23">AVERAGE(E70:H70)</f>
        <v>336281550000</v>
      </c>
      <c r="J70" s="3">
        <f>SUMIF(D2:D60,"Global",J2:J60)</f>
        <v>304653700000</v>
      </c>
      <c r="K70" s="23">
        <f>(J70/I70)-1</f>
        <v>-9.4051695669893243E-2</v>
      </c>
      <c r="L70" s="3">
        <f>SUMIF(D2:D60,"Global",L2:L60)</f>
        <v>3041013700000</v>
      </c>
      <c r="M70" s="3">
        <f>SUMIF(D2:D60,"Global",M2:M60)</f>
        <v>3410719500000</v>
      </c>
      <c r="N70" s="3">
        <f>SUMIF(D2:D60,"Global",N2:N60)</f>
        <v>3864324700000</v>
      </c>
      <c r="O70" s="3">
        <f>SUMIF(D2:D60,"Global",O2:O60)</f>
        <v>3850955400000</v>
      </c>
      <c r="P70" s="16">
        <f>AVERAGE(L70:O70)</f>
        <v>3541753325000</v>
      </c>
      <c r="Q70" s="3">
        <f>SUMIF(D2:D60,"Global",Q2:Q60)</f>
        <v>3694038000000</v>
      </c>
      <c r="R70" s="23">
        <f>I70/P70</f>
        <v>9.4947761501713274E-2</v>
      </c>
      <c r="S70" s="23">
        <f>J70/Q70</f>
        <v>8.2471728769438757E-2</v>
      </c>
      <c r="T70" s="4">
        <f>S70-R70</f>
        <v>-1.2476032732274517E-2</v>
      </c>
      <c r="U70" s="24">
        <f>SUMIF(D2:D60,"Global",U2:U60)</f>
        <v>77950075000</v>
      </c>
      <c r="Z70" s="24">
        <f>SUMIF(D2:D60,"Global",Z2:Z60)</f>
        <v>71688023387.5</v>
      </c>
    </row>
    <row r="71" spans="1:26" x14ac:dyDescent="0.3">
      <c r="A71" s="31" t="s">
        <v>173</v>
      </c>
      <c r="E71" s="3">
        <f>SUMIF(B2:B60,"Pharmaceutical",E2:E60)</f>
        <v>55152200000</v>
      </c>
      <c r="F71" s="3">
        <f>SUMIF(B2:B60,"Pharmaceutical",F2:F60)</f>
        <v>53021400000</v>
      </c>
      <c r="G71" s="3">
        <f>SUMIF(B2:B60,"Pharmaceutical",G2:G60)</f>
        <v>67564200000</v>
      </c>
      <c r="H71" s="3">
        <f>SUMIF(B2:B60,"Pharmaceutical",H2:H60)</f>
        <v>80635100000</v>
      </c>
      <c r="I71" s="3">
        <f t="shared" si="23"/>
        <v>64093225000</v>
      </c>
      <c r="J71" s="3">
        <f>SUMIF(B2:B60,"Pharmaceutical",J2:J60)</f>
        <v>73937700000</v>
      </c>
      <c r="K71" s="23">
        <f>(J71/I71)-1</f>
        <v>0.15359618742854653</v>
      </c>
      <c r="L71" s="3">
        <f>SUMIF(B2:B60,"Pharmaceutical",L2:L60)</f>
        <v>307234000000</v>
      </c>
      <c r="M71" s="3">
        <f>SUMIF(B2:B60,"Pharmaceutical",M2:M60)</f>
        <v>315953000000</v>
      </c>
      <c r="N71" s="3">
        <f>SUMIF(B2:B60,"Pharmaceutical",N2:N60)</f>
        <v>333993000000</v>
      </c>
      <c r="O71" s="3">
        <f>SUMIF(B2:B60,"Pharmaceutical",O2:O60)</f>
        <v>346742000000</v>
      </c>
      <c r="P71" s="16">
        <f>AVERAGE(L71:O71)</f>
        <v>325980500000</v>
      </c>
      <c r="Q71" s="3">
        <f>SUMIF(B2:B60,"Pharmaceutical",Q2:Q60)</f>
        <v>347618500000</v>
      </c>
      <c r="R71" s="23">
        <f>I71/P71</f>
        <v>0.19661674548017444</v>
      </c>
      <c r="S71" s="23">
        <f>J71/Q71</f>
        <v>0.21269782822260611</v>
      </c>
      <c r="T71" s="23">
        <f>S71-R71</f>
        <v>1.6081082742431668E-2</v>
      </c>
      <c r="U71" s="24">
        <f>SUMIF(B2:B60,"Pharmaceutical",U2:U60)</f>
        <v>12323975000</v>
      </c>
      <c r="Z71" s="24">
        <f>SUMIF(B2:B60,"Pharmaceutical",Z2:Z60)</f>
        <v>10584597187.5</v>
      </c>
    </row>
    <row r="72" spans="1:26" x14ac:dyDescent="0.3">
      <c r="A72" s="31" t="s">
        <v>135</v>
      </c>
      <c r="U72" s="24">
        <f>SUMIF(B2:B60,"Tech",U2:U60)</f>
        <v>53130250000</v>
      </c>
    </row>
    <row r="73" spans="1:26" x14ac:dyDescent="0.3">
      <c r="A73" s="31" t="s">
        <v>200</v>
      </c>
      <c r="U73" s="24">
        <f>SUM(SUMIFS(U2:U60,A2:A60,{"Google","Amazon","Microsoft","Facebook","Apple"}))</f>
        <v>45516000000</v>
      </c>
      <c r="Z73" s="24">
        <f>SUM(SUMIFS(Z2:Z60,A2:A60,{"Google","Amazon","Alibaba","Microsoft","Facebook","Apple"}))</f>
        <v>40180820000</v>
      </c>
    </row>
    <row r="74" spans="1:26" x14ac:dyDescent="0.3">
      <c r="A74" s="31" t="s">
        <v>172</v>
      </c>
      <c r="U74" s="24">
        <f>SUM(SUMIFS(U2:U60,A2:A60,{"Google","Amazon","Facebook","Apple"}))</f>
        <v>26694750000</v>
      </c>
      <c r="Z74" s="24">
        <f>SUM(SUMIFS(Z2:Z60,A2:A60,{"Google","Amazon","Facebook","Apple"}))</f>
        <v>22555738375</v>
      </c>
    </row>
  </sheetData>
  <autoFilter ref="A1:AD60" xr:uid="{059B5D41-22B4-42C5-97AE-D77238789348}">
    <sortState ref="A2:AD60">
      <sortCondition descending="1" ref="U1:U60"/>
    </sortState>
  </autoFilter>
  <hyperlinks>
    <hyperlink ref="V30" r:id="rId1" tooltip="R &amp; D Exp._x000a_ FY: 2019_x000a_ Period End Date: Dec-31-2019_x000a_ Filing Date: Feb-27-2020_x000a_ Period Type: Annual_x000a_ Value: 7,984.0, Currency: USD, Millions" display="javascript:void(0);" xr:uid="{E4327666-B7B3-4C56-97B4-75BB975EDB0D}"/>
    <hyperlink ref="V10" r:id="rId2" tooltip="R &amp; D Exp._x000a_ FY: 2019_x000a_ Period End Date: Dec-31-2019_x000a_ Filing Date: Feb-26-2020_x000a_ Period Type: Annual_x000a_ Value: 8,742.0, Currency: USD, Millions" display="javascript:void(0);" xr:uid="{149C75C6-822E-4F87-837E-564C48E14E64}"/>
    <hyperlink ref="V23" r:id="rId3" tooltip="R &amp; D Exp._x000a_ FY: 2019_x000a_ Period End Date: Dec-31-2019_x000a_ Filing Date: Feb-21-2020_x000a_ Period Type: Annual_x000a_ Value: 5,377.0, Currency: USD, Millions" display="javascript:void(0);" xr:uid="{A9507703-9BD8-40A7-A95D-674902124411}"/>
  </hyperlinks>
  <pageMargins left="0.7" right="0.7" top="0.75" bottom="0.75" header="0.3" footer="0.3"/>
  <pageSetup orientation="portrait" horizontalDpi="4294967295" verticalDpi="4294967295"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440B4-5064-4F83-BBFB-0F50852089C8}">
  <dimension ref="A1:AG75"/>
  <sheetViews>
    <sheetView tabSelected="1" zoomScale="60" zoomScaleNormal="60" workbookViewId="0">
      <pane xSplit="1" topLeftCell="B1" activePane="topRight" state="frozen"/>
      <selection pane="topRight" activeCell="AB78" sqref="AB78"/>
    </sheetView>
  </sheetViews>
  <sheetFormatPr defaultRowHeight="14.4" x14ac:dyDescent="0.3"/>
  <cols>
    <col min="1" max="1" width="22.44140625" customWidth="1"/>
    <col min="2" max="4" width="12.88671875" customWidth="1"/>
    <col min="5" max="8" width="11.88671875" customWidth="1"/>
    <col min="9" max="10" width="8.33203125" customWidth="1"/>
    <col min="11" max="11" width="9.44140625" customWidth="1"/>
    <col min="12" max="14" width="10.88671875" customWidth="1"/>
    <col min="15" max="16" width="8.88671875" customWidth="1"/>
    <col min="17" max="17" width="9.5546875" customWidth="1"/>
    <col min="18" max="18" width="10.88671875" customWidth="1"/>
    <col min="19" max="19" width="11.88671875" customWidth="1"/>
    <col min="20" max="22" width="10.88671875" customWidth="1"/>
    <col min="23" max="23" width="9.33203125" customWidth="1"/>
    <col min="24" max="27" width="9.21875" customWidth="1"/>
    <col min="28" max="28" width="12.21875" customWidth="1"/>
    <col min="29" max="29" width="9.88671875" customWidth="1"/>
    <col min="31" max="31" width="9.109375" customWidth="1"/>
    <col min="32" max="32" width="17.6640625" customWidth="1"/>
    <col min="33" max="33" width="16.5546875" bestFit="1" customWidth="1"/>
  </cols>
  <sheetData>
    <row r="1" spans="1:33" x14ac:dyDescent="0.3">
      <c r="A1" s="1" t="s">
        <v>22</v>
      </c>
      <c r="B1" s="1" t="s">
        <v>29</v>
      </c>
      <c r="C1" s="1" t="s">
        <v>67</v>
      </c>
      <c r="D1" s="1" t="s">
        <v>119</v>
      </c>
      <c r="E1" s="1" t="s">
        <v>28</v>
      </c>
      <c r="K1" s="1" t="s">
        <v>27</v>
      </c>
      <c r="Q1" s="1" t="s">
        <v>26</v>
      </c>
      <c r="W1" s="1" t="s">
        <v>132</v>
      </c>
    </row>
    <row r="2" spans="1:33" x14ac:dyDescent="0.3">
      <c r="A2" s="10"/>
      <c r="B2" s="10"/>
      <c r="C2" s="10"/>
      <c r="D2" s="10"/>
      <c r="E2" s="11" t="s">
        <v>25</v>
      </c>
      <c r="F2" s="11" t="s">
        <v>2</v>
      </c>
      <c r="G2" s="11" t="s">
        <v>3</v>
      </c>
      <c r="H2" s="12" t="s">
        <v>4</v>
      </c>
      <c r="I2" s="11" t="s">
        <v>5</v>
      </c>
      <c r="J2" s="1" t="s">
        <v>121</v>
      </c>
      <c r="K2" s="11" t="s">
        <v>25</v>
      </c>
      <c r="L2" s="11" t="s">
        <v>2</v>
      </c>
      <c r="M2" s="11" t="s">
        <v>3</v>
      </c>
      <c r="N2" s="12" t="s">
        <v>4</v>
      </c>
      <c r="O2" s="11" t="s">
        <v>5</v>
      </c>
      <c r="P2" s="1" t="s">
        <v>121</v>
      </c>
      <c r="Q2" s="11" t="s">
        <v>25</v>
      </c>
      <c r="R2" s="11" t="s">
        <v>2</v>
      </c>
      <c r="S2" s="11" t="s">
        <v>3</v>
      </c>
      <c r="T2" s="12" t="s">
        <v>4</v>
      </c>
      <c r="U2" s="11" t="s">
        <v>5</v>
      </c>
      <c r="V2" s="1" t="s">
        <v>121</v>
      </c>
      <c r="W2" s="11" t="s">
        <v>25</v>
      </c>
      <c r="X2" s="11" t="s">
        <v>2</v>
      </c>
      <c r="Y2" s="11" t="s">
        <v>3</v>
      </c>
      <c r="Z2" s="12" t="s">
        <v>4</v>
      </c>
      <c r="AA2" s="11" t="s">
        <v>5</v>
      </c>
      <c r="AB2" s="11" t="s">
        <v>179</v>
      </c>
      <c r="AC2" s="1" t="s">
        <v>209</v>
      </c>
      <c r="AD2" s="1" t="s">
        <v>133</v>
      </c>
      <c r="AE2" s="1" t="s">
        <v>211</v>
      </c>
      <c r="AF2" s="1" t="s">
        <v>210</v>
      </c>
      <c r="AG2" s="1" t="s">
        <v>212</v>
      </c>
    </row>
    <row r="3" spans="1:33" x14ac:dyDescent="0.3">
      <c r="A3" s="28" t="s">
        <v>43</v>
      </c>
      <c r="B3" s="48" t="s">
        <v>24</v>
      </c>
      <c r="C3" s="3" t="s">
        <v>66</v>
      </c>
      <c r="D3" s="3" t="s">
        <v>66</v>
      </c>
      <c r="E3" s="3">
        <v>5953000000</v>
      </c>
      <c r="F3" s="3">
        <v>5309000000</v>
      </c>
      <c r="G3" s="3">
        <v>5687000000</v>
      </c>
      <c r="H3" s="3">
        <v>7882000000</v>
      </c>
      <c r="I3" s="3">
        <v>6957000000</v>
      </c>
      <c r="J3" s="3">
        <v>2272000000</v>
      </c>
      <c r="K3" s="3">
        <v>3717000000</v>
      </c>
      <c r="L3" s="3">
        <v>4107000000</v>
      </c>
      <c r="M3" s="3">
        <v>5580000000</v>
      </c>
      <c r="N3" s="3">
        <v>6366000000</v>
      </c>
      <c r="O3" s="3">
        <v>6701000000</v>
      </c>
      <c r="P3" s="3">
        <v>3515000000</v>
      </c>
      <c r="Q3" s="3">
        <v>6010000000</v>
      </c>
      <c r="R3" s="3">
        <v>1410000000</v>
      </c>
      <c r="S3" s="3">
        <v>12014000000</v>
      </c>
      <c r="T3" s="3">
        <v>629000000</v>
      </c>
      <c r="U3" s="3">
        <v>668000000</v>
      </c>
      <c r="V3" s="3">
        <v>662000000</v>
      </c>
      <c r="W3" s="29">
        <f t="shared" ref="W3:AA4" si="0">SUM(K3,Q3)/E3</f>
        <v>1.6339660675289769</v>
      </c>
      <c r="X3" s="29">
        <f t="shared" si="0"/>
        <v>1.0391787530608401</v>
      </c>
      <c r="Y3" s="29">
        <f t="shared" si="0"/>
        <v>3.0937225250571481</v>
      </c>
      <c r="Z3" s="29">
        <f t="shared" si="0"/>
        <v>0.88746511037807663</v>
      </c>
      <c r="AA3" s="29">
        <f t="shared" si="0"/>
        <v>1.0592209285611613</v>
      </c>
      <c r="AB3" s="44">
        <f t="shared" ref="AB3:AB34" si="1">MEDIAN(W3:AA3)</f>
        <v>1.0592209285611613</v>
      </c>
      <c r="AC3" s="30">
        <f>SUM(V3,P3)/J3</f>
        <v>1.838468309859155</v>
      </c>
      <c r="AD3" s="3">
        <f t="shared" ref="AD3:AD16" si="2">V3+P3</f>
        <v>4177000000</v>
      </c>
      <c r="AE3" s="3">
        <f t="shared" ref="AE3:AE34" si="3">T3+N3</f>
        <v>6995000000</v>
      </c>
      <c r="AG3" s="44">
        <f t="shared" ref="AG3:AG8" si="4">MEDIAN(W3:Z3)</f>
        <v>1.3365724102949086</v>
      </c>
    </row>
    <row r="4" spans="1:33" x14ac:dyDescent="0.3">
      <c r="A4" s="28" t="s">
        <v>57</v>
      </c>
      <c r="B4" s="3" t="s">
        <v>17</v>
      </c>
      <c r="C4" s="3" t="s">
        <v>66</v>
      </c>
      <c r="D4" s="3" t="s">
        <v>120</v>
      </c>
      <c r="E4" s="3">
        <v>2371000000</v>
      </c>
      <c r="F4" s="3">
        <v>3033000000</v>
      </c>
      <c r="G4" s="3">
        <v>10073000000</v>
      </c>
      <c r="H4" s="3">
        <v>11588000000</v>
      </c>
      <c r="I4" s="3">
        <v>13180000000</v>
      </c>
      <c r="J4" s="3">
        <v>7778000000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29">
        <f t="shared" si="0"/>
        <v>0</v>
      </c>
      <c r="X4" s="29">
        <f t="shared" si="0"/>
        <v>0</v>
      </c>
      <c r="Y4" s="29">
        <f t="shared" si="0"/>
        <v>0</v>
      </c>
      <c r="Z4" s="29">
        <f t="shared" si="0"/>
        <v>0</v>
      </c>
      <c r="AA4" s="29">
        <f t="shared" si="0"/>
        <v>0</v>
      </c>
      <c r="AB4" s="44">
        <f t="shared" si="1"/>
        <v>0</v>
      </c>
      <c r="AC4" s="29">
        <f>SUM(V4,P4)/J4</f>
        <v>0</v>
      </c>
      <c r="AD4" s="3">
        <f t="shared" si="2"/>
        <v>0</v>
      </c>
      <c r="AE4" s="3">
        <f t="shared" si="3"/>
        <v>0</v>
      </c>
      <c r="AG4" s="44">
        <f t="shared" si="4"/>
        <v>0</v>
      </c>
    </row>
    <row r="5" spans="1:33" x14ac:dyDescent="0.3">
      <c r="A5" s="15" t="s">
        <v>153</v>
      </c>
      <c r="B5" s="15" t="s">
        <v>92</v>
      </c>
      <c r="C5" s="15" t="s">
        <v>91</v>
      </c>
      <c r="D5" s="3" t="s">
        <v>122</v>
      </c>
      <c r="E5" s="3">
        <v>63000000</v>
      </c>
      <c r="F5" s="3">
        <v>-191000000</v>
      </c>
      <c r="G5" s="3">
        <v>133000000</v>
      </c>
      <c r="H5" s="3">
        <v>-12000000</v>
      </c>
      <c r="I5" s="3">
        <v>295000000</v>
      </c>
      <c r="J5" s="3">
        <v>421000000</v>
      </c>
      <c r="K5" s="3">
        <v>15000000</v>
      </c>
      <c r="L5" s="3">
        <v>39000000</v>
      </c>
      <c r="M5" s="3">
        <v>24000000</v>
      </c>
      <c r="N5" s="3">
        <v>27000000</v>
      </c>
      <c r="O5" s="3">
        <v>38000000</v>
      </c>
      <c r="P5" s="37">
        <v>38000000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/>
      <c r="W5" s="36">
        <f t="shared" ref="W5:W11" si="5">SUM(K5,Q5)/E5</f>
        <v>0.23809523809523808</v>
      </c>
      <c r="X5" s="36">
        <f>-(SUM(L5,R5)-F5)/F5</f>
        <v>1.2041884816753927</v>
      </c>
      <c r="Y5" s="45">
        <f t="shared" ref="Y5:Y19" si="6">SUM(M5,S5)/G5</f>
        <v>0.18045112781954886</v>
      </c>
      <c r="Z5" s="45">
        <f>-(SUM(N5,T5)-H5)/H5</f>
        <v>3.25</v>
      </c>
      <c r="AA5" s="47">
        <f t="shared" ref="AA5:AA10" si="7">SUM(O5,U5)/I5</f>
        <v>0.12881355932203389</v>
      </c>
      <c r="AB5" s="44">
        <f t="shared" si="1"/>
        <v>0.23809523809523808</v>
      </c>
      <c r="AC5" s="29"/>
      <c r="AD5" s="3">
        <f t="shared" si="2"/>
        <v>38000000</v>
      </c>
      <c r="AE5" s="3">
        <f t="shared" si="3"/>
        <v>27000000</v>
      </c>
      <c r="AG5" s="44">
        <f t="shared" si="4"/>
        <v>0.72114185988531543</v>
      </c>
    </row>
    <row r="6" spans="1:33" x14ac:dyDescent="0.3">
      <c r="A6" s="28" t="s">
        <v>44</v>
      </c>
      <c r="B6" s="3" t="s">
        <v>13</v>
      </c>
      <c r="C6" s="3" t="s">
        <v>66</v>
      </c>
      <c r="D6" s="3" t="s">
        <v>120</v>
      </c>
      <c r="E6" s="3">
        <v>45687000000</v>
      </c>
      <c r="F6" s="3">
        <v>48351000000</v>
      </c>
      <c r="G6" s="3">
        <v>59531000000</v>
      </c>
      <c r="H6" s="3">
        <v>55256000000</v>
      </c>
      <c r="I6" s="3">
        <v>58424000000</v>
      </c>
      <c r="J6" s="3">
        <v>44738000000</v>
      </c>
      <c r="K6" s="3">
        <v>12150000000</v>
      </c>
      <c r="L6" s="3">
        <v>12769000000</v>
      </c>
      <c r="M6" s="3">
        <v>13712000000</v>
      </c>
      <c r="N6" s="3">
        <v>14119000000</v>
      </c>
      <c r="O6" s="3">
        <v>14049000000</v>
      </c>
      <c r="P6" s="3">
        <v>10570000000</v>
      </c>
      <c r="Q6" s="3">
        <v>31292000000</v>
      </c>
      <c r="R6" s="3">
        <v>32974000000</v>
      </c>
      <c r="S6" s="3">
        <v>72380000000</v>
      </c>
      <c r="T6" s="3">
        <v>66897000000</v>
      </c>
      <c r="U6" s="3">
        <v>76040000000</v>
      </c>
      <c r="V6" s="3">
        <v>58405000000</v>
      </c>
      <c r="W6" s="29">
        <f t="shared" si="5"/>
        <v>0.95086129533565344</v>
      </c>
      <c r="X6" s="29">
        <f t="shared" ref="X6:X13" si="8">SUM(L6,R6)/F6</f>
        <v>0.94606109491013635</v>
      </c>
      <c r="Y6" s="29">
        <f t="shared" si="6"/>
        <v>1.4461709025549714</v>
      </c>
      <c r="Z6" s="29">
        <f t="shared" ref="Z6:Z37" si="9">SUM(N6,T6)/H6</f>
        <v>1.4661937165194729</v>
      </c>
      <c r="AA6" s="29">
        <f t="shared" si="7"/>
        <v>1.5419861700670958</v>
      </c>
      <c r="AB6" s="44">
        <f t="shared" si="1"/>
        <v>1.4461709025549714</v>
      </c>
      <c r="AC6" s="29">
        <f>SUM(V6,P6)/J6</f>
        <v>1.5417542134203586</v>
      </c>
      <c r="AD6" s="3">
        <f t="shared" si="2"/>
        <v>68975000000</v>
      </c>
      <c r="AE6" s="3">
        <f t="shared" si="3"/>
        <v>81016000000</v>
      </c>
      <c r="AG6" s="44">
        <f t="shared" si="4"/>
        <v>1.1985160989453125</v>
      </c>
    </row>
    <row r="7" spans="1:33" x14ac:dyDescent="0.3">
      <c r="A7" s="14" t="s">
        <v>149</v>
      </c>
      <c r="B7" s="32" t="s">
        <v>13</v>
      </c>
      <c r="C7" s="32" t="s">
        <v>73</v>
      </c>
      <c r="D7" s="32" t="s">
        <v>73</v>
      </c>
      <c r="E7" s="3">
        <v>1645000000</v>
      </c>
      <c r="F7" s="3">
        <v>2482000000</v>
      </c>
      <c r="G7" s="3">
        <v>2967000000</v>
      </c>
      <c r="H7" s="3">
        <v>2909000000</v>
      </c>
      <c r="I7" s="3">
        <v>3254000000</v>
      </c>
      <c r="J7" s="3">
        <f>1142000000*1.120950566</f>
        <v>1280125546.3720002</v>
      </c>
      <c r="K7" s="3">
        <v>471000000</v>
      </c>
      <c r="L7" s="3">
        <v>620000000</v>
      </c>
      <c r="M7" s="3">
        <v>684000000</v>
      </c>
      <c r="N7" s="3">
        <v>1488000000</v>
      </c>
      <c r="O7" s="3">
        <v>1128000000</v>
      </c>
      <c r="P7" s="3">
        <f>565000000*1.120950566</f>
        <v>633337069.79000008</v>
      </c>
      <c r="Q7" s="3">
        <v>422000000</v>
      </c>
      <c r="R7" s="3">
        <v>600000000</v>
      </c>
      <c r="S7" s="3">
        <v>1312000000</v>
      </c>
      <c r="T7" s="3">
        <v>460000000</v>
      </c>
      <c r="U7" s="3">
        <v>950000000</v>
      </c>
      <c r="V7" s="3">
        <f>508*1.120950566</f>
        <v>569.44288752800003</v>
      </c>
      <c r="W7" s="29">
        <f t="shared" si="5"/>
        <v>0.54285714285714282</v>
      </c>
      <c r="X7" s="43">
        <f t="shared" si="8"/>
        <v>0.49153908138597907</v>
      </c>
      <c r="Y7" s="43">
        <f t="shared" si="6"/>
        <v>0.67273340074148968</v>
      </c>
      <c r="Z7" s="43">
        <f t="shared" si="9"/>
        <v>0.66964592643520116</v>
      </c>
      <c r="AA7" s="43">
        <f t="shared" si="7"/>
        <v>0.63859864781807008</v>
      </c>
      <c r="AB7" s="44">
        <f t="shared" si="1"/>
        <v>0.63859864781807008</v>
      </c>
      <c r="AC7" s="29">
        <f>SUM(V7,P7)/J7</f>
        <v>0.49474650437828371</v>
      </c>
      <c r="AD7" s="3">
        <f t="shared" si="2"/>
        <v>633337639.23288763</v>
      </c>
      <c r="AE7" s="3">
        <f t="shared" si="3"/>
        <v>1948000000</v>
      </c>
      <c r="AG7" s="44">
        <f t="shared" si="4"/>
        <v>0.60625153464617199</v>
      </c>
    </row>
    <row r="8" spans="1:33" x14ac:dyDescent="0.3">
      <c r="A8" s="28" t="s">
        <v>51</v>
      </c>
      <c r="B8" s="3" t="s">
        <v>14</v>
      </c>
      <c r="C8" s="3" t="s">
        <v>66</v>
      </c>
      <c r="D8" s="3" t="s">
        <v>66</v>
      </c>
      <c r="E8" s="3">
        <v>12976000000</v>
      </c>
      <c r="F8" s="3">
        <v>29450000000</v>
      </c>
      <c r="G8" s="3">
        <v>19370000000</v>
      </c>
      <c r="H8" s="3">
        <v>13903000000</v>
      </c>
      <c r="I8" s="3">
        <v>11985000000</v>
      </c>
      <c r="J8" s="3">
        <v>5891000000</v>
      </c>
      <c r="K8" s="3">
        <v>11797000000</v>
      </c>
      <c r="L8" s="3">
        <v>12038000000</v>
      </c>
      <c r="M8" s="3">
        <v>13410000000</v>
      </c>
      <c r="N8" s="3">
        <v>14888000000</v>
      </c>
      <c r="O8" s="3">
        <v>14926000000</v>
      </c>
      <c r="P8" s="3">
        <v>7474000000</v>
      </c>
      <c r="Q8" s="3">
        <v>512000000</v>
      </c>
      <c r="R8" s="3">
        <v>463000000</v>
      </c>
      <c r="S8" s="3">
        <v>609000000</v>
      </c>
      <c r="T8" s="3">
        <v>2417000000</v>
      </c>
      <c r="U8" s="3">
        <v>7657000000</v>
      </c>
      <c r="V8" s="3">
        <v>5480000000</v>
      </c>
      <c r="W8" s="29">
        <f t="shared" si="5"/>
        <v>0.94859741060419234</v>
      </c>
      <c r="X8" s="29">
        <f t="shared" si="8"/>
        <v>0.42448217317487269</v>
      </c>
      <c r="Y8" s="29">
        <f t="shared" si="6"/>
        <v>0.72374806401652036</v>
      </c>
      <c r="Z8" s="29">
        <f t="shared" si="9"/>
        <v>1.244695389484284</v>
      </c>
      <c r="AA8" s="29">
        <f t="shared" si="7"/>
        <v>1.8842720066750105</v>
      </c>
      <c r="AB8" s="44">
        <f t="shared" si="1"/>
        <v>0.94859741060419234</v>
      </c>
      <c r="AC8" s="30">
        <f>SUM(V8,P8)/J8</f>
        <v>2.1989475471057545</v>
      </c>
      <c r="AD8" s="3">
        <f t="shared" si="2"/>
        <v>12954000000</v>
      </c>
      <c r="AE8" s="3">
        <f t="shared" si="3"/>
        <v>17305000000</v>
      </c>
      <c r="AG8" s="44">
        <f t="shared" si="4"/>
        <v>0.83617273731035635</v>
      </c>
    </row>
    <row r="9" spans="1:33" x14ac:dyDescent="0.3">
      <c r="A9" s="14" t="s">
        <v>165</v>
      </c>
      <c r="B9" s="32"/>
      <c r="C9" s="32" t="s">
        <v>79</v>
      </c>
      <c r="D9" s="32" t="s">
        <v>79</v>
      </c>
      <c r="E9" s="3">
        <v>4282000000</v>
      </c>
      <c r="F9" s="3">
        <v>7298000000</v>
      </c>
      <c r="G9" s="3">
        <v>5389000000</v>
      </c>
      <c r="H9" s="3">
        <v>9450000000</v>
      </c>
      <c r="I9" s="3">
        <v>1202000000</v>
      </c>
      <c r="J9" s="3">
        <f>7000000*1.098901099</f>
        <v>7692307.6930000009</v>
      </c>
      <c r="K9" s="3">
        <v>2812000000</v>
      </c>
      <c r="L9" s="3">
        <v>3308000000</v>
      </c>
      <c r="M9" s="3">
        <v>3260000000</v>
      </c>
      <c r="N9" s="3">
        <v>3298000000</v>
      </c>
      <c r="O9" s="3">
        <v>3411000000</v>
      </c>
      <c r="P9" s="3">
        <f>30310000*1.098901099</f>
        <v>33307692.310690004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29">
        <f t="shared" si="5"/>
        <v>0.65670247547874827</v>
      </c>
      <c r="X9" s="43">
        <f t="shared" si="8"/>
        <v>0.45327486982734994</v>
      </c>
      <c r="Y9" s="43">
        <f t="shared" si="6"/>
        <v>0.60493598070142884</v>
      </c>
      <c r="Z9" s="43">
        <f t="shared" si="9"/>
        <v>0.34899470899470897</v>
      </c>
      <c r="AA9" s="43">
        <f t="shared" si="7"/>
        <v>2.8377703826955076</v>
      </c>
      <c r="AB9" s="44">
        <f t="shared" si="1"/>
        <v>0.60493598070142884</v>
      </c>
      <c r="AC9" s="30">
        <f>SUM(V9,P9)/J9</f>
        <v>4.33</v>
      </c>
      <c r="AD9" s="3">
        <f t="shared" si="2"/>
        <v>33307692.310690004</v>
      </c>
      <c r="AE9" s="3">
        <f t="shared" si="3"/>
        <v>3298000000</v>
      </c>
      <c r="AG9" s="44">
        <f t="shared" ref="AG9:AG61" si="10">MEDIAN(W9:Z9)</f>
        <v>0.52910542526438942</v>
      </c>
    </row>
    <row r="10" spans="1:33" x14ac:dyDescent="0.3">
      <c r="A10" s="28" t="s">
        <v>55</v>
      </c>
      <c r="B10" s="3" t="s">
        <v>19</v>
      </c>
      <c r="C10" s="3" t="s">
        <v>66</v>
      </c>
      <c r="D10" s="3" t="s">
        <v>66</v>
      </c>
      <c r="E10" s="3">
        <v>24074000000</v>
      </c>
      <c r="F10" s="3">
        <v>44940000000</v>
      </c>
      <c r="G10" s="3">
        <v>4021000000</v>
      </c>
      <c r="H10" s="3">
        <v>81417000000</v>
      </c>
      <c r="I10" s="3">
        <v>22320000000</v>
      </c>
      <c r="J10" s="3">
        <v>-23451000000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1346000000</v>
      </c>
      <c r="T10" s="3">
        <v>4850000000</v>
      </c>
      <c r="U10" s="3">
        <v>9456000000</v>
      </c>
      <c r="V10" s="24">
        <v>6739000000</v>
      </c>
      <c r="W10" s="29">
        <f t="shared" si="5"/>
        <v>0</v>
      </c>
      <c r="X10" s="29">
        <f t="shared" si="8"/>
        <v>0</v>
      </c>
      <c r="Y10" s="29">
        <f t="shared" si="6"/>
        <v>0.33474260134294953</v>
      </c>
      <c r="Z10" s="29">
        <f t="shared" si="9"/>
        <v>5.9569868700639912E-2</v>
      </c>
      <c r="AA10" s="29">
        <f t="shared" si="7"/>
        <v>0.42365591397849461</v>
      </c>
      <c r="AB10" s="44">
        <f t="shared" si="1"/>
        <v>5.9569868700639912E-2</v>
      </c>
      <c r="AC10" s="29">
        <f>-(SUM(V10,P10)-J10)/J10</f>
        <v>1.2873651443435248</v>
      </c>
      <c r="AD10" s="3">
        <f t="shared" si="2"/>
        <v>6739000000</v>
      </c>
      <c r="AE10" s="3">
        <f t="shared" si="3"/>
        <v>4850000000</v>
      </c>
      <c r="AG10" s="44">
        <f t="shared" si="10"/>
        <v>2.9784934350319956E-2</v>
      </c>
    </row>
    <row r="11" spans="1:33" ht="14.55" customHeight="1" x14ac:dyDescent="0.3">
      <c r="A11" s="15" t="s">
        <v>163</v>
      </c>
      <c r="B11" s="15" t="s">
        <v>88</v>
      </c>
      <c r="C11" s="15" t="s">
        <v>89</v>
      </c>
      <c r="D11" s="3" t="s">
        <v>122</v>
      </c>
      <c r="E11" s="3">
        <v>916900000</v>
      </c>
      <c r="F11" s="3">
        <v>586400000</v>
      </c>
      <c r="G11" s="3">
        <v>168900000</v>
      </c>
      <c r="H11" s="3">
        <v>59100000</v>
      </c>
      <c r="I11" s="3">
        <v>-5990000000</v>
      </c>
      <c r="J11" s="3"/>
      <c r="K11" s="3">
        <v>161100000</v>
      </c>
      <c r="L11" s="3">
        <v>141500000</v>
      </c>
      <c r="M11" s="3">
        <v>501800000</v>
      </c>
      <c r="N11" s="3">
        <v>672800000</v>
      </c>
      <c r="O11" s="3">
        <v>214000000</v>
      </c>
      <c r="P11" s="3"/>
      <c r="Q11" s="3">
        <v>7800000</v>
      </c>
      <c r="R11" s="3">
        <v>0</v>
      </c>
      <c r="S11" s="3">
        <v>6500000</v>
      </c>
      <c r="T11" s="3">
        <v>5800000</v>
      </c>
      <c r="U11" s="3">
        <v>6600000</v>
      </c>
      <c r="V11" s="3"/>
      <c r="W11" s="36">
        <f t="shared" si="5"/>
        <v>0.18420765623295887</v>
      </c>
      <c r="X11" s="45">
        <f t="shared" si="8"/>
        <v>0.24130286493860845</v>
      </c>
      <c r="Y11" s="45">
        <f t="shared" si="6"/>
        <v>3.0094730609828302</v>
      </c>
      <c r="Z11" s="45">
        <f t="shared" si="9"/>
        <v>11.482233502538071</v>
      </c>
      <c r="AA11" s="43">
        <f>-(SUM(O11,U11)-I11)/I11</f>
        <v>1.0368280467445743</v>
      </c>
      <c r="AB11" s="44">
        <f t="shared" si="1"/>
        <v>1.0368280467445743</v>
      </c>
      <c r="AC11" s="29"/>
      <c r="AD11" s="3">
        <f t="shared" si="2"/>
        <v>0</v>
      </c>
      <c r="AE11" s="3">
        <f t="shared" si="3"/>
        <v>678600000</v>
      </c>
      <c r="AG11" s="44">
        <f t="shared" si="10"/>
        <v>1.6253879629607193</v>
      </c>
    </row>
    <row r="12" spans="1:33" x14ac:dyDescent="0.3">
      <c r="A12" s="28" t="s">
        <v>171</v>
      </c>
      <c r="B12" s="32" t="s">
        <v>84</v>
      </c>
      <c r="C12" s="32" t="s">
        <v>85</v>
      </c>
      <c r="D12" s="3" t="s">
        <v>120</v>
      </c>
      <c r="E12" s="3">
        <v>-6385000000</v>
      </c>
      <c r="F12" s="3">
        <v>5890000000</v>
      </c>
      <c r="G12" s="3">
        <v>3705000000</v>
      </c>
      <c r="H12" s="3">
        <v>9410000000</v>
      </c>
      <c r="I12" s="3">
        <v>7956000000</v>
      </c>
      <c r="J12" s="32"/>
      <c r="K12" s="3">
        <v>4130000000</v>
      </c>
      <c r="L12" s="3">
        <v>2912000000</v>
      </c>
      <c r="M12" s="3">
        <v>5220000000</v>
      </c>
      <c r="N12" s="3">
        <v>6760000000</v>
      </c>
      <c r="O12" s="3">
        <v>6876000000</v>
      </c>
      <c r="P12" s="33"/>
      <c r="Q12" s="3">
        <v>106000000</v>
      </c>
      <c r="R12" s="3">
        <v>108000000</v>
      </c>
      <c r="S12" s="3">
        <v>171000000</v>
      </c>
      <c r="T12" s="3">
        <v>5408000000</v>
      </c>
      <c r="U12" s="3">
        <v>143000000</v>
      </c>
      <c r="V12" s="32"/>
      <c r="W12" s="29">
        <f>-(SUM(K12,Q12)-E12)/E12</f>
        <v>1.6634299138606108</v>
      </c>
      <c r="X12" s="29">
        <f t="shared" si="8"/>
        <v>0.51273344651952457</v>
      </c>
      <c r="Y12" s="43">
        <f t="shared" si="6"/>
        <v>1.4550607287449393</v>
      </c>
      <c r="Z12" s="43">
        <f t="shared" si="9"/>
        <v>1.2930924548352816</v>
      </c>
      <c r="AA12" s="29">
        <f>SUM(O12,U12)/I12</f>
        <v>0.88222724987430867</v>
      </c>
      <c r="AB12" s="44">
        <f t="shared" si="1"/>
        <v>1.2930924548352816</v>
      </c>
      <c r="AC12" s="29"/>
      <c r="AD12" s="3">
        <f t="shared" si="2"/>
        <v>0</v>
      </c>
      <c r="AE12" s="3">
        <f t="shared" si="3"/>
        <v>12168000000</v>
      </c>
      <c r="AG12" s="44">
        <f t="shared" si="10"/>
        <v>1.3740765917901103</v>
      </c>
    </row>
    <row r="13" spans="1:33" x14ac:dyDescent="0.3">
      <c r="A13" s="14" t="s">
        <v>139</v>
      </c>
      <c r="B13" s="32" t="s">
        <v>16</v>
      </c>
      <c r="C13" s="32" t="s">
        <v>123</v>
      </c>
      <c r="D13" s="32" t="s">
        <v>120</v>
      </c>
      <c r="E13" s="3">
        <v>115000000</v>
      </c>
      <c r="F13" s="3">
        <v>3389000000</v>
      </c>
      <c r="G13" s="3">
        <v>9383000000</v>
      </c>
      <c r="H13" s="3">
        <v>4026000000</v>
      </c>
      <c r="I13" s="3">
        <v>-21943000000</v>
      </c>
      <c r="J13" s="3">
        <v>-21213000000</v>
      </c>
      <c r="K13" s="3">
        <v>4611000000</v>
      </c>
      <c r="L13" s="3">
        <v>6153000000</v>
      </c>
      <c r="M13" s="3">
        <v>6699000000</v>
      </c>
      <c r="N13" s="3">
        <v>6946000000</v>
      </c>
      <c r="O13" s="3">
        <v>7953000000</v>
      </c>
      <c r="P13" s="3">
        <v>4221000000</v>
      </c>
      <c r="Q13" s="3">
        <v>0</v>
      </c>
      <c r="R13" s="3">
        <v>343000000</v>
      </c>
      <c r="S13" s="3">
        <v>355000000</v>
      </c>
      <c r="T13" s="3">
        <v>1511000000</v>
      </c>
      <c r="U13" s="3">
        <v>2210000000</v>
      </c>
      <c r="V13" s="3">
        <v>824000000</v>
      </c>
      <c r="W13" s="29">
        <f>SUM(K13,Q13)/E13</f>
        <v>40.095652173913045</v>
      </c>
      <c r="X13" s="29">
        <f t="shared" si="8"/>
        <v>1.9167896134552966</v>
      </c>
      <c r="Y13" s="29">
        <f t="shared" si="6"/>
        <v>0.75178514334434621</v>
      </c>
      <c r="Z13" s="29">
        <f t="shared" si="9"/>
        <v>2.1005961251862892</v>
      </c>
      <c r="AA13" s="43">
        <f>-(SUM(O13,U13)-I13)/I13</f>
        <v>1.4631545367543179</v>
      </c>
      <c r="AB13" s="44">
        <f t="shared" si="1"/>
        <v>1.9167896134552966</v>
      </c>
      <c r="AC13" s="29">
        <f>-(SUM(V13,P13)-J13)/J13</f>
        <v>1.2378258615000235</v>
      </c>
      <c r="AD13" s="3">
        <f t="shared" si="2"/>
        <v>5045000000</v>
      </c>
      <c r="AE13" s="3">
        <f t="shared" si="3"/>
        <v>8457000000</v>
      </c>
      <c r="AG13" s="44">
        <f t="shared" si="10"/>
        <v>2.0086928693207931</v>
      </c>
    </row>
    <row r="14" spans="1:33" x14ac:dyDescent="0.3">
      <c r="A14" s="15" t="s">
        <v>158</v>
      </c>
      <c r="B14" s="15" t="s">
        <v>92</v>
      </c>
      <c r="C14" s="15" t="s">
        <v>93</v>
      </c>
      <c r="D14" s="3" t="s">
        <v>122</v>
      </c>
      <c r="E14" s="3" t="s">
        <v>82</v>
      </c>
      <c r="F14" s="3" t="s">
        <v>82</v>
      </c>
      <c r="G14" s="3">
        <v>175700000</v>
      </c>
      <c r="H14" s="3">
        <v>167400000</v>
      </c>
      <c r="I14" s="3">
        <v>166100000</v>
      </c>
      <c r="J14" s="3"/>
      <c r="K14" s="3" t="s">
        <v>82</v>
      </c>
      <c r="L14" s="3" t="s">
        <v>82</v>
      </c>
      <c r="M14" s="3">
        <v>4300000</v>
      </c>
      <c r="N14" s="3">
        <v>14500000</v>
      </c>
      <c r="O14" s="3">
        <v>13500000</v>
      </c>
      <c r="P14" s="3"/>
      <c r="Q14" s="32" t="s">
        <v>82</v>
      </c>
      <c r="R14" s="32" t="s">
        <v>82</v>
      </c>
      <c r="S14" s="3">
        <v>0</v>
      </c>
      <c r="T14" s="3">
        <v>0</v>
      </c>
      <c r="U14" s="3">
        <v>0</v>
      </c>
      <c r="V14" s="3"/>
      <c r="W14" s="28" t="s">
        <v>82</v>
      </c>
      <c r="X14" s="32" t="s">
        <v>82</v>
      </c>
      <c r="Y14" s="45">
        <f t="shared" si="6"/>
        <v>2.4473534433693798E-2</v>
      </c>
      <c r="Z14" s="45">
        <f t="shared" si="9"/>
        <v>8.661887694145759E-2</v>
      </c>
      <c r="AA14" s="36">
        <f>SUM(O14,U14)/I14</f>
        <v>8.1276339554485252E-2</v>
      </c>
      <c r="AB14" s="44">
        <f t="shared" si="1"/>
        <v>8.1276339554485252E-2</v>
      </c>
      <c r="AC14" s="29"/>
      <c r="AD14" s="3">
        <f t="shared" si="2"/>
        <v>0</v>
      </c>
      <c r="AE14" s="3">
        <f t="shared" si="3"/>
        <v>14500000</v>
      </c>
      <c r="AG14" s="44">
        <f t="shared" si="10"/>
        <v>5.5546205687575692E-2</v>
      </c>
    </row>
    <row r="15" spans="1:33" ht="14.55" customHeight="1" x14ac:dyDescent="0.3">
      <c r="A15" s="28" t="s">
        <v>56</v>
      </c>
      <c r="B15" s="3" t="s">
        <v>14</v>
      </c>
      <c r="C15" s="3" t="s">
        <v>66</v>
      </c>
      <c r="D15" s="3" t="s">
        <v>66</v>
      </c>
      <c r="E15" s="3">
        <v>3522000000</v>
      </c>
      <c r="F15" s="3">
        <v>9895000000</v>
      </c>
      <c r="G15" s="3">
        <v>1230000000</v>
      </c>
      <c r="H15" s="3">
        <v>1668000000</v>
      </c>
      <c r="I15" s="3">
        <v>2263000000</v>
      </c>
      <c r="J15" s="3">
        <v>1162000000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1562000000</v>
      </c>
      <c r="R15" s="3">
        <v>11715000000</v>
      </c>
      <c r="S15" s="3">
        <v>4399000000</v>
      </c>
      <c r="T15" s="3">
        <v>6873000000</v>
      </c>
      <c r="U15" s="3">
        <v>8579000000</v>
      </c>
      <c r="V15" s="3">
        <v>3507000000</v>
      </c>
      <c r="W15" s="29">
        <f>SUM(K15,Q15)/E15</f>
        <v>0.44349801249290177</v>
      </c>
      <c r="X15" s="29">
        <f>SUM(L15,R15)/F15</f>
        <v>1.1839312784234461</v>
      </c>
      <c r="Y15" s="29">
        <f t="shared" si="6"/>
        <v>3.5764227642276425</v>
      </c>
      <c r="Z15" s="29">
        <f t="shared" si="9"/>
        <v>4.1205035971223021</v>
      </c>
      <c r="AA15" s="29">
        <f>SUM(O15,U15)/I15</f>
        <v>3.7909854175872737</v>
      </c>
      <c r="AB15" s="44">
        <f t="shared" si="1"/>
        <v>3.5764227642276425</v>
      </c>
      <c r="AC15" s="30">
        <f>SUM(V15,P15)/J15</f>
        <v>3.0180722891566263</v>
      </c>
      <c r="AD15" s="3">
        <f t="shared" si="2"/>
        <v>3507000000</v>
      </c>
      <c r="AE15" s="3">
        <f t="shared" si="3"/>
        <v>6873000000</v>
      </c>
      <c r="AG15" s="44">
        <f t="shared" si="10"/>
        <v>2.3801770213255447</v>
      </c>
    </row>
    <row r="16" spans="1:33" x14ac:dyDescent="0.3">
      <c r="A16" s="28" t="s">
        <v>58</v>
      </c>
      <c r="B16" s="28" t="s">
        <v>16</v>
      </c>
      <c r="C16" s="3" t="s">
        <v>66</v>
      </c>
      <c r="D16" s="3" t="s">
        <v>120</v>
      </c>
      <c r="E16" s="3">
        <v>-497000000</v>
      </c>
      <c r="F16" s="3">
        <v>9195000000</v>
      </c>
      <c r="G16" s="3">
        <v>14824000000</v>
      </c>
      <c r="H16" s="3">
        <v>2924000000</v>
      </c>
      <c r="I16" s="3">
        <v>-8701000000</v>
      </c>
      <c r="J16" s="3">
        <v>-4671000000</v>
      </c>
      <c r="K16" s="3">
        <v>8032000000</v>
      </c>
      <c r="L16" s="3">
        <v>8132000000</v>
      </c>
      <c r="M16" s="3">
        <v>8502000000</v>
      </c>
      <c r="N16" s="3">
        <v>8959000000</v>
      </c>
      <c r="O16" s="3">
        <v>9259000000</v>
      </c>
      <c r="P16" s="3">
        <v>4800000000</v>
      </c>
      <c r="Q16" s="3">
        <v>0</v>
      </c>
      <c r="R16" s="3">
        <v>0</v>
      </c>
      <c r="S16" s="3">
        <v>604000000</v>
      </c>
      <c r="T16" s="3">
        <v>4039000000</v>
      </c>
      <c r="U16" s="3">
        <v>3735000000</v>
      </c>
      <c r="V16" s="3">
        <v>1600000000</v>
      </c>
      <c r="W16" s="29">
        <f>-(SUM(K16,Q16)-E16)/E16</f>
        <v>17.160965794768611</v>
      </c>
      <c r="X16" s="29">
        <f t="shared" ref="X16:X22" si="11">SUM(L16,R16)/F16</f>
        <v>0.88439369222403486</v>
      </c>
      <c r="Y16" s="29">
        <f t="shared" si="6"/>
        <v>0.61427415002698327</v>
      </c>
      <c r="Z16" s="29">
        <f t="shared" si="9"/>
        <v>4.4452804377564981</v>
      </c>
      <c r="AA16" s="43">
        <f>-(SUM(O16,U16)-I16)/I16</f>
        <v>2.4933915641880242</v>
      </c>
      <c r="AB16" s="44">
        <f t="shared" si="1"/>
        <v>2.4933915641880242</v>
      </c>
      <c r="AC16" s="29">
        <f>-(SUM(V16,P16)-J16)/J16</f>
        <v>2.370156283451081</v>
      </c>
      <c r="AD16" s="3">
        <f t="shared" si="2"/>
        <v>6400000000</v>
      </c>
      <c r="AE16" s="3">
        <f t="shared" si="3"/>
        <v>12998000000</v>
      </c>
      <c r="AG16" s="44">
        <f t="shared" si="10"/>
        <v>2.6648370649902664</v>
      </c>
    </row>
    <row r="17" spans="1:33" x14ac:dyDescent="0.3">
      <c r="A17" s="28" t="s">
        <v>45</v>
      </c>
      <c r="B17" s="28" t="s">
        <v>13</v>
      </c>
      <c r="C17" s="3" t="s">
        <v>66</v>
      </c>
      <c r="D17" s="3" t="s">
        <v>66</v>
      </c>
      <c r="E17" s="3">
        <v>10739000000</v>
      </c>
      <c r="F17" s="3">
        <v>9609000000</v>
      </c>
      <c r="G17" s="3">
        <v>110000000</v>
      </c>
      <c r="H17" s="3">
        <v>11621000000</v>
      </c>
      <c r="I17" s="3">
        <v>11214000000</v>
      </c>
      <c r="J17" s="3"/>
      <c r="K17" s="3">
        <v>4750000000</v>
      </c>
      <c r="L17" s="3">
        <v>5511000000</v>
      </c>
      <c r="M17" s="3">
        <v>5968000000</v>
      </c>
      <c r="N17" s="3">
        <v>5979000000</v>
      </c>
      <c r="O17" s="3">
        <v>6016000000</v>
      </c>
      <c r="P17" s="3"/>
      <c r="Q17" s="3">
        <v>4466000000</v>
      </c>
      <c r="R17" s="3">
        <v>4304000000</v>
      </c>
      <c r="S17" s="3">
        <v>18250000000</v>
      </c>
      <c r="T17" s="3">
        <v>21579000000</v>
      </c>
      <c r="U17" s="3">
        <v>3386000000</v>
      </c>
      <c r="V17" s="3"/>
      <c r="W17" s="29">
        <f t="shared" ref="W17:W35" si="12">SUM(K17,Q17)/E17</f>
        <v>0.85818046373032875</v>
      </c>
      <c r="X17" s="29">
        <f t="shared" si="11"/>
        <v>1.021438234988032</v>
      </c>
      <c r="Y17" s="29">
        <f t="shared" si="6"/>
        <v>220.16363636363636</v>
      </c>
      <c r="Z17" s="29">
        <f t="shared" si="9"/>
        <v>2.3713966095860943</v>
      </c>
      <c r="AA17" s="29">
        <f t="shared" ref="AA17:AA30" si="13">SUM(O17,U17)/I17</f>
        <v>0.83841626538255754</v>
      </c>
      <c r="AB17" s="44">
        <f t="shared" si="1"/>
        <v>1.021438234988032</v>
      </c>
      <c r="AC17" s="29"/>
      <c r="AD17" s="3"/>
      <c r="AE17" s="3">
        <f t="shared" si="3"/>
        <v>27558000000</v>
      </c>
      <c r="AG17" s="44">
        <f t="shared" si="10"/>
        <v>1.6964174222870632</v>
      </c>
    </row>
    <row r="18" spans="1:33" x14ac:dyDescent="0.3">
      <c r="A18" s="28" t="s">
        <v>49</v>
      </c>
      <c r="B18" s="28" t="s">
        <v>14</v>
      </c>
      <c r="C18" s="3" t="s">
        <v>66</v>
      </c>
      <c r="D18" s="3" t="s">
        <v>66</v>
      </c>
      <c r="E18" s="3">
        <v>8695000000</v>
      </c>
      <c r="F18" s="3">
        <v>22714000000</v>
      </c>
      <c r="G18" s="3">
        <v>11731000000</v>
      </c>
      <c r="H18" s="3">
        <v>13057000000</v>
      </c>
      <c r="I18" s="3">
        <v>11514000000</v>
      </c>
      <c r="J18" s="3">
        <v>5135000000</v>
      </c>
      <c r="K18" s="3">
        <v>2601000000</v>
      </c>
      <c r="L18" s="3">
        <v>2883000000</v>
      </c>
      <c r="M18" s="3">
        <v>3352000000</v>
      </c>
      <c r="N18" s="3">
        <v>3735000000</v>
      </c>
      <c r="O18" s="3">
        <v>3940000000</v>
      </c>
      <c r="P18" s="3">
        <v>2028000000</v>
      </c>
      <c r="Q18" s="3">
        <v>5000000000</v>
      </c>
      <c r="R18" s="3">
        <v>5435000000</v>
      </c>
      <c r="S18" s="3">
        <v>5320000000</v>
      </c>
      <c r="T18" s="3">
        <v>504000000</v>
      </c>
      <c r="U18" s="3">
        <v>423000000</v>
      </c>
      <c r="V18" s="3">
        <v>269000000</v>
      </c>
      <c r="W18" s="29">
        <f t="shared" si="12"/>
        <v>0.8741805635422657</v>
      </c>
      <c r="X18" s="29">
        <f t="shared" si="11"/>
        <v>0.36620586422470724</v>
      </c>
      <c r="Y18" s="29">
        <f t="shared" si="6"/>
        <v>0.73923791663114824</v>
      </c>
      <c r="Z18" s="29">
        <f t="shared" si="9"/>
        <v>0.32465344259784024</v>
      </c>
      <c r="AA18" s="29">
        <f t="shared" si="13"/>
        <v>0.37892999826298418</v>
      </c>
      <c r="AB18" s="44">
        <f t="shared" si="1"/>
        <v>0.37892999826298418</v>
      </c>
      <c r="AC18" s="29">
        <f>SUM(V18,P18)/J18</f>
        <v>0.44732229795520934</v>
      </c>
      <c r="AD18" s="3">
        <f>V18+P18</f>
        <v>2297000000</v>
      </c>
      <c r="AE18" s="3">
        <f t="shared" si="3"/>
        <v>4239000000</v>
      </c>
      <c r="AG18" s="44">
        <f t="shared" si="10"/>
        <v>0.55272189042792774</v>
      </c>
    </row>
    <row r="19" spans="1:33" x14ac:dyDescent="0.3">
      <c r="A19" s="14" t="s">
        <v>198</v>
      </c>
      <c r="B19" s="32" t="s">
        <v>19</v>
      </c>
      <c r="C19" s="32" t="s">
        <v>77</v>
      </c>
      <c r="D19" s="32" t="s">
        <v>77</v>
      </c>
      <c r="E19" s="3">
        <v>5093400000</v>
      </c>
      <c r="F19" s="3">
        <v>7844500000</v>
      </c>
      <c r="G19" s="3">
        <v>7836000000</v>
      </c>
      <c r="H19" s="3">
        <v>8077700000</v>
      </c>
      <c r="I19" s="3">
        <v>7231600000</v>
      </c>
      <c r="J19" s="3">
        <f>2391000000*1.125365744</f>
        <v>2690749493.9039998</v>
      </c>
      <c r="K19" s="3">
        <v>1734000000</v>
      </c>
      <c r="L19" s="3">
        <v>2151000000</v>
      </c>
      <c r="M19" s="3">
        <v>2261000000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29">
        <f t="shared" si="12"/>
        <v>0.34044057014960538</v>
      </c>
      <c r="X19" s="29">
        <f t="shared" si="11"/>
        <v>0.27420485690611257</v>
      </c>
      <c r="Y19" s="29">
        <f t="shared" si="6"/>
        <v>0.28854007146503319</v>
      </c>
      <c r="Z19" s="29">
        <f t="shared" si="9"/>
        <v>0</v>
      </c>
      <c r="AA19" s="29">
        <f t="shared" si="13"/>
        <v>0</v>
      </c>
      <c r="AB19" s="44">
        <f t="shared" si="1"/>
        <v>0.27420485690611257</v>
      </c>
      <c r="AC19" s="29">
        <f>SUM(V19,P19)/J19</f>
        <v>0</v>
      </c>
      <c r="AD19" s="3">
        <f>V19+P19</f>
        <v>0</v>
      </c>
      <c r="AE19" s="3">
        <f t="shared" si="3"/>
        <v>0</v>
      </c>
      <c r="AG19" s="44">
        <f t="shared" si="10"/>
        <v>0.28137246418557288</v>
      </c>
    </row>
    <row r="20" spans="1:33" x14ac:dyDescent="0.3">
      <c r="A20" s="28" t="s">
        <v>60</v>
      </c>
      <c r="B20" s="28" t="s">
        <v>15</v>
      </c>
      <c r="C20" s="3" t="s">
        <v>66</v>
      </c>
      <c r="D20" s="3" t="s">
        <v>66</v>
      </c>
      <c r="E20" s="3">
        <v>5317000000</v>
      </c>
      <c r="F20" s="3">
        <v>6622000000</v>
      </c>
      <c r="G20" s="3">
        <v>-594000000</v>
      </c>
      <c r="H20" s="3">
        <v>6634000000</v>
      </c>
      <c r="I20" s="16">
        <v>8259000000</v>
      </c>
      <c r="J20" s="3">
        <v>4982000000</v>
      </c>
      <c r="K20" s="3">
        <v>1840000000</v>
      </c>
      <c r="L20" s="3">
        <v>2049000000</v>
      </c>
      <c r="M20" s="3">
        <v>2038000000</v>
      </c>
      <c r="N20" s="3">
        <v>2603000000</v>
      </c>
      <c r="O20" s="3">
        <v>2612000000</v>
      </c>
      <c r="P20" s="3">
        <v>1315000000</v>
      </c>
      <c r="Q20" s="3">
        <v>4533000000</v>
      </c>
      <c r="R20" s="3">
        <v>4432000000</v>
      </c>
      <c r="S20" s="3">
        <v>97000000</v>
      </c>
      <c r="T20" s="3">
        <v>112000000</v>
      </c>
      <c r="U20" s="3">
        <v>100000000</v>
      </c>
      <c r="V20" s="3">
        <v>68000000</v>
      </c>
      <c r="W20" s="29">
        <f t="shared" si="12"/>
        <v>1.198608237728042</v>
      </c>
      <c r="X20" s="29">
        <f t="shared" si="11"/>
        <v>0.97870733917245545</v>
      </c>
      <c r="Y20" s="29">
        <f>-(SUM(M20,S20)-G20)/G20</f>
        <v>4.5942760942760943</v>
      </c>
      <c r="Z20" s="29">
        <f t="shared" si="9"/>
        <v>0.40925535122098283</v>
      </c>
      <c r="AA20" s="29">
        <f t="shared" si="13"/>
        <v>0.32836905194333454</v>
      </c>
      <c r="AB20" s="44">
        <f t="shared" si="1"/>
        <v>0.97870733917245545</v>
      </c>
      <c r="AC20" s="29">
        <f>SUM(V20,P20)/J20</f>
        <v>0.27759935768767563</v>
      </c>
      <c r="AD20" s="3">
        <f>V20+P20</f>
        <v>1383000000</v>
      </c>
      <c r="AE20" s="3">
        <f t="shared" si="3"/>
        <v>2715000000</v>
      </c>
      <c r="AG20" s="44">
        <f t="shared" si="10"/>
        <v>1.0886577884502486</v>
      </c>
    </row>
    <row r="21" spans="1:33" x14ac:dyDescent="0.3">
      <c r="A21" s="15" t="s">
        <v>159</v>
      </c>
      <c r="B21" s="15" t="s">
        <v>92</v>
      </c>
      <c r="C21" s="15" t="s">
        <v>93</v>
      </c>
      <c r="D21" s="3" t="s">
        <v>122</v>
      </c>
      <c r="E21" s="3">
        <v>490700000</v>
      </c>
      <c r="F21" s="3">
        <v>551600000</v>
      </c>
      <c r="G21" s="3">
        <v>1066700000</v>
      </c>
      <c r="H21" s="3">
        <v>555100000</v>
      </c>
      <c r="I21" s="3">
        <v>518300000</v>
      </c>
      <c r="J21" s="3">
        <f>126900000000*0.002580645</f>
        <v>327483850.5</v>
      </c>
      <c r="K21" s="3">
        <v>447300000</v>
      </c>
      <c r="L21" s="3">
        <v>402300000</v>
      </c>
      <c r="M21" s="3">
        <v>490700000</v>
      </c>
      <c r="N21" s="3">
        <v>753200000</v>
      </c>
      <c r="O21" s="3">
        <v>703600000</v>
      </c>
      <c r="P21" s="37">
        <f>272648000000*0.002580645</f>
        <v>703607697.95999992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6">
        <f t="shared" si="12"/>
        <v>0.9115549215406562</v>
      </c>
      <c r="X21" s="36">
        <f t="shared" si="11"/>
        <v>0.72933284989122549</v>
      </c>
      <c r="Y21" s="45">
        <f t="shared" ref="Y21:Y53" si="14">SUM(M21,S21)/G21</f>
        <v>0.46001687447267275</v>
      </c>
      <c r="Z21" s="45">
        <f t="shared" si="9"/>
        <v>1.3568726355611602</v>
      </c>
      <c r="AA21" s="36">
        <f>SUM(O21,U21)/I21</f>
        <v>1.3575149527300792</v>
      </c>
      <c r="AB21" s="44">
        <f t="shared" si="1"/>
        <v>0.9115549215406562</v>
      </c>
      <c r="AC21" s="30"/>
      <c r="AD21" s="3">
        <f>V21+P21</f>
        <v>703607697.95999992</v>
      </c>
      <c r="AE21" s="3">
        <f t="shared" si="3"/>
        <v>753200000</v>
      </c>
      <c r="AG21" s="44">
        <f t="shared" si="10"/>
        <v>0.82044388571594085</v>
      </c>
    </row>
    <row r="22" spans="1:33" x14ac:dyDescent="0.3">
      <c r="A22" s="28" t="s">
        <v>147</v>
      </c>
      <c r="B22" s="32" t="s">
        <v>14</v>
      </c>
      <c r="C22" s="32" t="s">
        <v>79</v>
      </c>
      <c r="D22" s="3" t="s">
        <v>120</v>
      </c>
      <c r="E22" s="3">
        <v>2823800000</v>
      </c>
      <c r="F22" s="3">
        <v>4155900000</v>
      </c>
      <c r="G22" s="3">
        <v>2480000000</v>
      </c>
      <c r="H22" s="3">
        <v>4339600000</v>
      </c>
      <c r="I22" s="3">
        <v>4267000000</v>
      </c>
      <c r="J22" s="3"/>
      <c r="K22" s="3">
        <v>1684800000</v>
      </c>
      <c r="L22" s="3">
        <v>1872000000</v>
      </c>
      <c r="M22" s="3">
        <v>3528700000</v>
      </c>
      <c r="N22" s="3">
        <v>3996200000</v>
      </c>
      <c r="O22" s="3">
        <v>3913200000</v>
      </c>
      <c r="P22" s="3"/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/>
      <c r="W22" s="29">
        <f t="shared" si="12"/>
        <v>0.59664282172958427</v>
      </c>
      <c r="X22" s="43">
        <f t="shared" si="11"/>
        <v>0.45044394715946007</v>
      </c>
      <c r="Y22" s="43">
        <f t="shared" si="14"/>
        <v>1.4228629032258064</v>
      </c>
      <c r="Z22" s="43">
        <f t="shared" si="9"/>
        <v>0.9208682827910406</v>
      </c>
      <c r="AA22" s="43">
        <f t="shared" si="13"/>
        <v>0.91708460276540893</v>
      </c>
      <c r="AB22" s="44">
        <f t="shared" si="1"/>
        <v>0.91708460276540893</v>
      </c>
      <c r="AC22" s="30"/>
      <c r="AD22" s="3"/>
      <c r="AE22" s="3">
        <f t="shared" si="3"/>
        <v>3996200000</v>
      </c>
      <c r="AG22" s="44">
        <f t="shared" si="10"/>
        <v>0.75875555226031244</v>
      </c>
    </row>
    <row r="23" spans="1:33" x14ac:dyDescent="0.3">
      <c r="A23" s="15" t="s">
        <v>176</v>
      </c>
      <c r="B23" s="15" t="s">
        <v>95</v>
      </c>
      <c r="C23" s="15" t="s">
        <v>94</v>
      </c>
      <c r="D23" s="3" t="s">
        <v>122</v>
      </c>
      <c r="E23" s="3">
        <v>1101500000</v>
      </c>
      <c r="F23" s="3">
        <v>-532400000</v>
      </c>
      <c r="G23" s="3">
        <v>3425800000</v>
      </c>
      <c r="H23" s="3">
        <v>2661200000</v>
      </c>
      <c r="I23" s="3">
        <v>1571100000</v>
      </c>
      <c r="J23" s="3">
        <f>4875000000*0.182495073</f>
        <v>889663480.875</v>
      </c>
      <c r="K23" s="3">
        <v>1800000</v>
      </c>
      <c r="L23" s="3">
        <v>115100000</v>
      </c>
      <c r="M23" s="3">
        <v>16700000</v>
      </c>
      <c r="N23" s="3">
        <v>294300000</v>
      </c>
      <c r="O23" s="3">
        <v>215900000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/>
      <c r="W23" s="36">
        <f t="shared" si="12"/>
        <v>1.634135270086246E-3</v>
      </c>
      <c r="X23" s="36">
        <f>-(SUM(L23,R23)-F23)/F23</f>
        <v>1.216190833959429</v>
      </c>
      <c r="Y23" s="45">
        <f t="shared" si="14"/>
        <v>4.8747737754685034E-3</v>
      </c>
      <c r="Z23" s="45">
        <f t="shared" si="9"/>
        <v>0.1105892078761461</v>
      </c>
      <c r="AA23" s="36">
        <f t="shared" si="13"/>
        <v>0.13741964228884221</v>
      </c>
      <c r="AB23" s="44">
        <f t="shared" si="1"/>
        <v>0.1105892078761461</v>
      </c>
      <c r="AC23" s="29">
        <f>SUM(V23,P23)/J23</f>
        <v>0</v>
      </c>
      <c r="AD23" s="3">
        <f t="shared" ref="AD23:AD61" si="15">V23+P23</f>
        <v>0</v>
      </c>
      <c r="AE23" s="3">
        <f t="shared" si="3"/>
        <v>294300000</v>
      </c>
      <c r="AG23" s="44">
        <f t="shared" si="10"/>
        <v>5.7731990825807294E-2</v>
      </c>
    </row>
    <row r="24" spans="1:33" x14ac:dyDescent="0.3">
      <c r="A24" s="28" t="s">
        <v>54</v>
      </c>
      <c r="B24" s="28" t="s">
        <v>16</v>
      </c>
      <c r="C24" s="3" t="s">
        <v>66</v>
      </c>
      <c r="D24" s="3" t="s">
        <v>120</v>
      </c>
      <c r="E24" s="3">
        <v>7840000000</v>
      </c>
      <c r="F24" s="3">
        <v>19710000000</v>
      </c>
      <c r="G24" s="3">
        <v>20840000000</v>
      </c>
      <c r="H24" s="3">
        <v>14340000000</v>
      </c>
      <c r="I24" s="3">
        <v>7170000000</v>
      </c>
      <c r="J24" s="3">
        <v>-1690000000</v>
      </c>
      <c r="K24" s="3">
        <v>12453000000</v>
      </c>
      <c r="L24" s="3">
        <v>13001000000</v>
      </c>
      <c r="M24" s="3">
        <v>13798000000</v>
      </c>
      <c r="N24" s="3">
        <v>14652000000</v>
      </c>
      <c r="O24" s="3">
        <v>14866000000</v>
      </c>
      <c r="P24" s="3">
        <v>7434000000</v>
      </c>
      <c r="Q24" s="3">
        <v>977000000</v>
      </c>
      <c r="R24" s="3">
        <v>747000000</v>
      </c>
      <c r="S24" s="3">
        <v>626000000</v>
      </c>
      <c r="T24" s="3">
        <v>594000000</v>
      </c>
      <c r="U24" s="3">
        <v>478000000</v>
      </c>
      <c r="V24" s="3">
        <v>305000000</v>
      </c>
      <c r="W24" s="29">
        <f t="shared" si="12"/>
        <v>1.7130102040816326</v>
      </c>
      <c r="X24" s="29">
        <f t="shared" ref="X24:X61" si="16">SUM(L24,R24)/F24</f>
        <v>0.69751395230847291</v>
      </c>
      <c r="Y24" s="29">
        <f t="shared" si="14"/>
        <v>0.69213051823416505</v>
      </c>
      <c r="Z24" s="29">
        <f t="shared" si="9"/>
        <v>1.0631799163179916</v>
      </c>
      <c r="AA24" s="29">
        <f t="shared" si="13"/>
        <v>2.1400278940027895</v>
      </c>
      <c r="AB24" s="44">
        <f t="shared" si="1"/>
        <v>1.0631799163179916</v>
      </c>
      <c r="AC24" s="29">
        <f>-(SUM(V24,P24)-J24)/J24</f>
        <v>5.579289940828402</v>
      </c>
      <c r="AD24" s="3">
        <f t="shared" si="15"/>
        <v>7739000000</v>
      </c>
      <c r="AE24" s="3">
        <f t="shared" si="3"/>
        <v>15246000000</v>
      </c>
      <c r="AG24" s="44">
        <f t="shared" si="10"/>
        <v>0.88034693431323219</v>
      </c>
    </row>
    <row r="25" spans="1:33" x14ac:dyDescent="0.3">
      <c r="A25" s="28" t="s">
        <v>41</v>
      </c>
      <c r="B25" s="28" t="s">
        <v>13</v>
      </c>
      <c r="C25" s="3" t="s">
        <v>66</v>
      </c>
      <c r="D25" s="3" t="s">
        <v>66</v>
      </c>
      <c r="E25" s="3">
        <v>10217000000</v>
      </c>
      <c r="F25" s="3">
        <v>15934000000</v>
      </c>
      <c r="G25" s="3">
        <v>22112000000</v>
      </c>
      <c r="H25" s="3">
        <v>18485000000</v>
      </c>
      <c r="I25" s="3">
        <v>23521000000</v>
      </c>
      <c r="J25" s="3">
        <v>10081000000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6000000</v>
      </c>
      <c r="R25" s="3">
        <v>5222000000</v>
      </c>
      <c r="S25" s="3">
        <v>16087000000</v>
      </c>
      <c r="T25" s="3">
        <v>6539000000</v>
      </c>
      <c r="U25" s="3">
        <v>7724000000</v>
      </c>
      <c r="V25" s="3">
        <v>4062000000</v>
      </c>
      <c r="W25" s="29">
        <f t="shared" si="12"/>
        <v>5.8725653322893212E-4</v>
      </c>
      <c r="X25" s="29">
        <f t="shared" si="16"/>
        <v>0.32772687335257938</v>
      </c>
      <c r="Y25" s="29">
        <f t="shared" si="14"/>
        <v>0.727523516642547</v>
      </c>
      <c r="Z25" s="29">
        <f t="shared" si="9"/>
        <v>0.35374628076819042</v>
      </c>
      <c r="AA25" s="29">
        <f t="shared" si="13"/>
        <v>0.32838739849496196</v>
      </c>
      <c r="AB25" s="44">
        <f t="shared" si="1"/>
        <v>0.32838739849496196</v>
      </c>
      <c r="AC25" s="29">
        <f>SUM(V25,P25)/J25</f>
        <v>0.40293621664517409</v>
      </c>
      <c r="AD25" s="3">
        <f t="shared" si="15"/>
        <v>4062000000</v>
      </c>
      <c r="AE25" s="3">
        <f t="shared" si="3"/>
        <v>6539000000</v>
      </c>
      <c r="AG25" s="44">
        <f t="shared" si="10"/>
        <v>0.3407365770603849</v>
      </c>
    </row>
    <row r="26" spans="1:33" ht="14.55" customHeight="1" x14ac:dyDescent="0.3">
      <c r="A26" s="15" t="s">
        <v>161</v>
      </c>
      <c r="B26" s="15" t="s">
        <v>21</v>
      </c>
      <c r="C26" s="15" t="s">
        <v>93</v>
      </c>
      <c r="D26" s="3" t="s">
        <v>122</v>
      </c>
      <c r="E26" s="3">
        <v>73600000</v>
      </c>
      <c r="F26" s="3">
        <v>25200000</v>
      </c>
      <c r="G26" s="3">
        <v>35200000</v>
      </c>
      <c r="H26" s="3">
        <v>11400000</v>
      </c>
      <c r="I26" s="3">
        <v>26900000</v>
      </c>
      <c r="J26" s="32"/>
      <c r="K26" s="3">
        <v>18600000</v>
      </c>
      <c r="L26" s="3">
        <v>9400000</v>
      </c>
      <c r="M26" s="3">
        <v>7900000</v>
      </c>
      <c r="N26" s="3">
        <v>15200000</v>
      </c>
      <c r="O26" s="3">
        <v>12000000</v>
      </c>
      <c r="P26" s="3"/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/>
      <c r="W26" s="36">
        <f t="shared" si="12"/>
        <v>0.25271739130434784</v>
      </c>
      <c r="X26" s="36">
        <f t="shared" si="16"/>
        <v>0.37301587301587302</v>
      </c>
      <c r="Y26" s="45">
        <f t="shared" si="14"/>
        <v>0.22443181818181818</v>
      </c>
      <c r="Z26" s="45">
        <f t="shared" si="9"/>
        <v>1.3333333333333333</v>
      </c>
      <c r="AA26" s="36">
        <f t="shared" si="13"/>
        <v>0.44609665427509293</v>
      </c>
      <c r="AB26" s="44">
        <f t="shared" si="1"/>
        <v>0.37301587301587302</v>
      </c>
      <c r="AC26" s="29"/>
      <c r="AD26" s="3">
        <f t="shared" si="15"/>
        <v>0</v>
      </c>
      <c r="AE26" s="3">
        <f t="shared" si="3"/>
        <v>15200000</v>
      </c>
      <c r="AG26" s="44">
        <f t="shared" si="10"/>
        <v>0.31286663216011046</v>
      </c>
    </row>
    <row r="27" spans="1:33" ht="14.55" customHeight="1" x14ac:dyDescent="0.3">
      <c r="A27" s="28" t="s">
        <v>61</v>
      </c>
      <c r="B27" s="28" t="s">
        <v>13</v>
      </c>
      <c r="C27" s="3" t="s">
        <v>66</v>
      </c>
      <c r="D27" s="3" t="s">
        <v>120</v>
      </c>
      <c r="E27" s="3">
        <v>19478000000</v>
      </c>
      <c r="F27" s="3">
        <v>12662000000</v>
      </c>
      <c r="G27" s="3">
        <v>30736000000</v>
      </c>
      <c r="H27" s="3">
        <v>34343000000.000004</v>
      </c>
      <c r="I27" s="3">
        <v>31534000000</v>
      </c>
      <c r="J27" s="3">
        <v>13795000000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3693000000</v>
      </c>
      <c r="R27" s="3">
        <v>4846000000</v>
      </c>
      <c r="S27" s="3">
        <v>9075000000</v>
      </c>
      <c r="T27" s="3">
        <v>18396000000</v>
      </c>
      <c r="U27" s="3">
        <v>27142000000</v>
      </c>
      <c r="V27" s="3">
        <v>15348000000</v>
      </c>
      <c r="W27" s="29">
        <f t="shared" si="12"/>
        <v>0.18959852140876887</v>
      </c>
      <c r="X27" s="29">
        <f t="shared" si="16"/>
        <v>0.38271994945506238</v>
      </c>
      <c r="Y27" s="29">
        <f t="shared" si="14"/>
        <v>0.29525637688703799</v>
      </c>
      <c r="Z27" s="29">
        <f t="shared" si="9"/>
        <v>0.53565500975453506</v>
      </c>
      <c r="AA27" s="29">
        <f t="shared" si="13"/>
        <v>0.86072176063930994</v>
      </c>
      <c r="AB27" s="44">
        <f t="shared" si="1"/>
        <v>0.38271994945506238</v>
      </c>
      <c r="AC27" s="30">
        <f>SUM(V27,P27)/J27</f>
        <v>1.1125770206596592</v>
      </c>
      <c r="AD27" s="3">
        <f t="shared" si="15"/>
        <v>15348000000</v>
      </c>
      <c r="AE27" s="3">
        <f t="shared" si="3"/>
        <v>18396000000</v>
      </c>
      <c r="AG27" s="44">
        <f t="shared" si="10"/>
        <v>0.33898816317105018</v>
      </c>
    </row>
    <row r="28" spans="1:33" x14ac:dyDescent="0.3">
      <c r="A28" s="28" t="s">
        <v>50</v>
      </c>
      <c r="B28" s="28" t="s">
        <v>17</v>
      </c>
      <c r="C28" s="3" t="s">
        <v>66</v>
      </c>
      <c r="D28" s="3" t="s">
        <v>66</v>
      </c>
      <c r="E28" s="3">
        <v>7957000000</v>
      </c>
      <c r="F28" s="3">
        <v>8630000000</v>
      </c>
      <c r="G28" s="3">
        <v>11121000000</v>
      </c>
      <c r="H28" s="3">
        <v>11242000000</v>
      </c>
      <c r="I28" s="3">
        <v>11827000000</v>
      </c>
      <c r="J28" s="3">
        <v>6577000000</v>
      </c>
      <c r="K28" s="3">
        <v>3031000000</v>
      </c>
      <c r="L28" s="3">
        <v>3404000000</v>
      </c>
      <c r="M28" s="3">
        <v>4212000000</v>
      </c>
      <c r="N28" s="3">
        <v>4704000000</v>
      </c>
      <c r="O28" s="3">
        <v>6190000000</v>
      </c>
      <c r="P28" s="3">
        <v>3223000000</v>
      </c>
      <c r="Q28" s="3">
        <v>7000000000</v>
      </c>
      <c r="R28" s="3">
        <v>6880000000</v>
      </c>
      <c r="S28" s="3">
        <v>8000000000</v>
      </c>
      <c r="T28" s="3">
        <v>9963000000</v>
      </c>
      <c r="U28" s="3">
        <v>5137000000</v>
      </c>
      <c r="V28" s="3">
        <v>791000000</v>
      </c>
      <c r="W28" s="29">
        <f t="shared" si="12"/>
        <v>1.2606509991202715</v>
      </c>
      <c r="X28" s="29">
        <f t="shared" si="16"/>
        <v>1.191657010428737</v>
      </c>
      <c r="Y28" s="29">
        <f t="shared" si="14"/>
        <v>1.0981026886071397</v>
      </c>
      <c r="Z28" s="29">
        <f t="shared" si="9"/>
        <v>1.3046610923323252</v>
      </c>
      <c r="AA28" s="29">
        <f t="shared" si="13"/>
        <v>0.95772385220258727</v>
      </c>
      <c r="AB28" s="44">
        <f t="shared" si="1"/>
        <v>1.191657010428737</v>
      </c>
      <c r="AC28" s="29">
        <f>-(SUM(V28,P28)-J28)/J28</f>
        <v>0.38969134863919719</v>
      </c>
      <c r="AD28" s="3">
        <f t="shared" si="15"/>
        <v>4014000000</v>
      </c>
      <c r="AE28" s="3">
        <f t="shared" si="3"/>
        <v>14667000000</v>
      </c>
      <c r="AG28" s="44">
        <f t="shared" si="10"/>
        <v>1.2261540047745041</v>
      </c>
    </row>
    <row r="29" spans="1:33" s="15" customFormat="1" x14ac:dyDescent="0.3">
      <c r="A29" s="49" t="s">
        <v>155</v>
      </c>
      <c r="B29" s="32" t="s">
        <v>13</v>
      </c>
      <c r="C29" s="32" t="s">
        <v>66</v>
      </c>
      <c r="D29" s="3" t="s">
        <v>120</v>
      </c>
      <c r="E29" s="3">
        <v>11872000000</v>
      </c>
      <c r="F29" s="3">
        <v>5753000000</v>
      </c>
      <c r="G29" s="3">
        <v>8728000000</v>
      </c>
      <c r="H29" s="3">
        <v>9431000000</v>
      </c>
      <c r="I29" s="3">
        <v>7878000000</v>
      </c>
      <c r="J29" s="3">
        <v>2536000000</v>
      </c>
      <c r="K29" s="3">
        <v>5256000000</v>
      </c>
      <c r="L29" s="3">
        <v>5506000000</v>
      </c>
      <c r="M29" s="3">
        <v>5666000000</v>
      </c>
      <c r="N29" s="3">
        <v>5707000000</v>
      </c>
      <c r="O29" s="3">
        <v>5764000000</v>
      </c>
      <c r="P29" s="3">
        <v>2890000000</v>
      </c>
      <c r="Q29" s="3">
        <v>3628000000</v>
      </c>
      <c r="R29" s="3">
        <v>4533000000</v>
      </c>
      <c r="S29" s="3">
        <v>4614000000</v>
      </c>
      <c r="T29" s="3">
        <v>1633000000</v>
      </c>
      <c r="U29" s="3">
        <v>454000000</v>
      </c>
      <c r="V29" s="3">
        <v>211000000</v>
      </c>
      <c r="W29" s="29">
        <f t="shared" si="12"/>
        <v>0.74831536388140163</v>
      </c>
      <c r="X29" s="29">
        <f t="shared" si="16"/>
        <v>1.7450026073353033</v>
      </c>
      <c r="Y29" s="29">
        <f t="shared" si="14"/>
        <v>1.1778185151237397</v>
      </c>
      <c r="Z29" s="29">
        <f t="shared" si="9"/>
        <v>0.77828438129572686</v>
      </c>
      <c r="AA29" s="29">
        <f t="shared" si="13"/>
        <v>0.7892866209697893</v>
      </c>
      <c r="AB29" s="44">
        <f t="shared" si="1"/>
        <v>0.7892866209697893</v>
      </c>
      <c r="AC29" s="30">
        <f>SUM(V29,P29)/J29</f>
        <v>1.2227917981072556</v>
      </c>
      <c r="AD29" s="3">
        <f t="shared" si="15"/>
        <v>3101000000</v>
      </c>
      <c r="AE29" s="3">
        <f t="shared" si="3"/>
        <v>7340000000</v>
      </c>
      <c r="AG29" s="44">
        <f t="shared" si="10"/>
        <v>0.97805144820973333</v>
      </c>
    </row>
    <row r="30" spans="1:33" ht="14.55" customHeight="1" x14ac:dyDescent="0.3">
      <c r="A30" s="28" t="s">
        <v>40</v>
      </c>
      <c r="B30" s="28" t="s">
        <v>13</v>
      </c>
      <c r="C30" s="3" t="s">
        <v>66</v>
      </c>
      <c r="D30" s="3" t="s">
        <v>120</v>
      </c>
      <c r="E30" s="3">
        <v>10316000000</v>
      </c>
      <c r="F30" s="3">
        <v>9601000000</v>
      </c>
      <c r="G30" s="3">
        <v>21053000000</v>
      </c>
      <c r="H30" s="3">
        <v>21048000000</v>
      </c>
      <c r="I30" s="3">
        <v>23661000000</v>
      </c>
      <c r="J30" s="3">
        <v>10766000000</v>
      </c>
      <c r="K30" s="3">
        <v>4925000000</v>
      </c>
      <c r="L30" s="3">
        <v>5072000000</v>
      </c>
      <c r="M30" s="3">
        <v>5541000000</v>
      </c>
      <c r="N30" s="3">
        <v>5576000000</v>
      </c>
      <c r="O30" s="3">
        <v>5559000000</v>
      </c>
      <c r="P30" s="3">
        <v>2811000000</v>
      </c>
      <c r="Q30" s="3">
        <v>2587000000</v>
      </c>
      <c r="R30" s="3">
        <v>3615000000</v>
      </c>
      <c r="S30" s="3">
        <v>10730000000</v>
      </c>
      <c r="T30" s="3">
        <v>13576000000</v>
      </c>
      <c r="U30" s="3">
        <v>12226000000</v>
      </c>
      <c r="V30" s="3">
        <v>4229000000</v>
      </c>
      <c r="W30" s="29">
        <f t="shared" si="12"/>
        <v>0.72818922062815039</v>
      </c>
      <c r="X30" s="29">
        <f t="shared" si="16"/>
        <v>0.90480158316841997</v>
      </c>
      <c r="Y30" s="29">
        <f t="shared" si="14"/>
        <v>0.77285897496793809</v>
      </c>
      <c r="Z30" s="29">
        <f t="shared" si="9"/>
        <v>0.90992018244013684</v>
      </c>
      <c r="AA30" s="29">
        <f t="shared" si="13"/>
        <v>0.75165884789315751</v>
      </c>
      <c r="AB30" s="44">
        <f t="shared" si="1"/>
        <v>0.77285897496793809</v>
      </c>
      <c r="AC30" s="29">
        <f>SUM(V30,P30)/J30</f>
        <v>0.65391045885194132</v>
      </c>
      <c r="AD30" s="3">
        <f t="shared" si="15"/>
        <v>7040000000</v>
      </c>
      <c r="AE30" s="3">
        <f t="shared" si="3"/>
        <v>19152000000</v>
      </c>
      <c r="AG30" s="44">
        <f t="shared" si="10"/>
        <v>0.83883027906817897</v>
      </c>
    </row>
    <row r="31" spans="1:33" x14ac:dyDescent="0.3">
      <c r="A31" s="15" t="s">
        <v>167</v>
      </c>
      <c r="B31" s="15" t="s">
        <v>21</v>
      </c>
      <c r="C31" s="15" t="s">
        <v>94</v>
      </c>
      <c r="D31" s="3" t="s">
        <v>122</v>
      </c>
      <c r="E31" s="3">
        <v>71800000</v>
      </c>
      <c r="F31" s="3">
        <v>161300000</v>
      </c>
      <c r="G31" s="3">
        <v>6500000</v>
      </c>
      <c r="H31" s="3">
        <v>1509700000</v>
      </c>
      <c r="I31" s="3">
        <v>-184900000</v>
      </c>
      <c r="J31" s="3"/>
      <c r="K31" s="3">
        <v>338700000</v>
      </c>
      <c r="L31" s="3">
        <v>28200000</v>
      </c>
      <c r="M31" s="3">
        <v>32800000</v>
      </c>
      <c r="N31" s="3">
        <v>1500000</v>
      </c>
      <c r="O31" s="3">
        <v>1200000</v>
      </c>
      <c r="P31" s="3"/>
      <c r="Q31" s="3">
        <v>252300000</v>
      </c>
      <c r="R31" s="3">
        <v>77300000</v>
      </c>
      <c r="S31" s="3">
        <v>128700000</v>
      </c>
      <c r="T31" s="3">
        <v>0</v>
      </c>
      <c r="U31" s="3">
        <v>0</v>
      </c>
      <c r="V31" s="3"/>
      <c r="W31" s="36">
        <f t="shared" si="12"/>
        <v>8.2311977715877429</v>
      </c>
      <c r="X31" s="36">
        <f t="shared" si="16"/>
        <v>0.65406075635461869</v>
      </c>
      <c r="Y31" s="29">
        <f t="shared" si="14"/>
        <v>24.846153846153847</v>
      </c>
      <c r="Z31" s="45">
        <f t="shared" si="9"/>
        <v>9.9357488242697231E-4</v>
      </c>
      <c r="AA31" s="29">
        <f>-(SUM(O31,U31)-I31)/I31</f>
        <v>1.0064899945916712</v>
      </c>
      <c r="AB31" s="44">
        <f t="shared" si="1"/>
        <v>1.0064899945916712</v>
      </c>
      <c r="AC31" s="29"/>
      <c r="AD31" s="3">
        <f t="shared" si="15"/>
        <v>0</v>
      </c>
      <c r="AE31" s="3">
        <f t="shared" si="3"/>
        <v>1500000</v>
      </c>
      <c r="AG31" s="44">
        <f t="shared" si="10"/>
        <v>4.4426292639711811</v>
      </c>
    </row>
    <row r="32" spans="1:33" x14ac:dyDescent="0.3">
      <c r="A32" s="28" t="s">
        <v>47</v>
      </c>
      <c r="B32" s="28" t="s">
        <v>24</v>
      </c>
      <c r="C32" s="3" t="s">
        <v>66</v>
      </c>
      <c r="D32" s="3" t="s">
        <v>120</v>
      </c>
      <c r="E32" s="3">
        <v>16540000000</v>
      </c>
      <c r="F32" s="3">
        <v>1300000000</v>
      </c>
      <c r="G32" s="3">
        <v>15297000000</v>
      </c>
      <c r="H32" s="3">
        <v>15119000000</v>
      </c>
      <c r="I32" s="3">
        <v>15185000000</v>
      </c>
      <c r="J32" s="3">
        <v>9422000000</v>
      </c>
      <c r="K32" s="3">
        <v>8621000000</v>
      </c>
      <c r="L32" s="3">
        <v>8943000000</v>
      </c>
      <c r="M32" s="3">
        <v>9494000000</v>
      </c>
      <c r="N32" s="3">
        <v>9917000000</v>
      </c>
      <c r="O32" s="3">
        <v>10163000000</v>
      </c>
      <c r="P32" s="3">
        <v>5164000000</v>
      </c>
      <c r="Q32" s="3">
        <v>8979000000</v>
      </c>
      <c r="R32" s="3">
        <v>6358000000</v>
      </c>
      <c r="S32" s="3">
        <v>5868000000</v>
      </c>
      <c r="T32" s="3">
        <v>6746000000</v>
      </c>
      <c r="U32" s="3">
        <v>4471000000</v>
      </c>
      <c r="V32" s="3">
        <v>2417000000</v>
      </c>
      <c r="W32" s="29">
        <f t="shared" si="12"/>
        <v>1.0640870616686819</v>
      </c>
      <c r="X32" s="29">
        <f t="shared" si="16"/>
        <v>11.77</v>
      </c>
      <c r="Y32" s="29">
        <f t="shared" si="14"/>
        <v>1.0042491991893836</v>
      </c>
      <c r="Z32" s="29">
        <f t="shared" si="9"/>
        <v>1.1021231562934057</v>
      </c>
      <c r="AA32" s="29">
        <f t="shared" ref="AA32:AA42" si="17">SUM(O32,U32)/I32</f>
        <v>0.96371419163648342</v>
      </c>
      <c r="AB32" s="44">
        <f t="shared" si="1"/>
        <v>1.0640870616686819</v>
      </c>
      <c r="AC32" s="30">
        <f>SUM(V32,P32)/J32</f>
        <v>0.8046062407132244</v>
      </c>
      <c r="AD32" s="3">
        <f t="shared" si="15"/>
        <v>7581000000</v>
      </c>
      <c r="AE32" s="3">
        <f t="shared" si="3"/>
        <v>16663000000</v>
      </c>
      <c r="AG32" s="44">
        <f t="shared" si="10"/>
        <v>1.083105108981044</v>
      </c>
    </row>
    <row r="33" spans="1:33" ht="14.55" customHeight="1" x14ac:dyDescent="0.3">
      <c r="A33" s="14" t="s">
        <v>166</v>
      </c>
      <c r="B33" s="32"/>
      <c r="C33" s="32" t="s">
        <v>77</v>
      </c>
      <c r="D33" s="32" t="s">
        <v>120</v>
      </c>
      <c r="E33" s="3">
        <v>4292000000</v>
      </c>
      <c r="F33" s="3">
        <v>6442000000</v>
      </c>
      <c r="G33" s="3">
        <v>7275000000</v>
      </c>
      <c r="H33" s="3">
        <v>8047000000</v>
      </c>
      <c r="I33" s="3">
        <v>4979700000</v>
      </c>
      <c r="J33" s="3">
        <f>522000000*1.125365744</f>
        <v>587440918.36800003</v>
      </c>
      <c r="K33" s="3">
        <v>1962000000</v>
      </c>
      <c r="L33" s="3">
        <v>2534000000</v>
      </c>
      <c r="M33" s="3">
        <v>3109000000</v>
      </c>
      <c r="N33" s="3">
        <v>3500000000</v>
      </c>
      <c r="O33" s="3">
        <v>1245800000</v>
      </c>
      <c r="P33" s="3">
        <v>0</v>
      </c>
      <c r="Q33" s="3">
        <v>372000000</v>
      </c>
      <c r="R33" s="3">
        <v>80500000</v>
      </c>
      <c r="S33" s="3">
        <v>338000000</v>
      </c>
      <c r="T33" s="3">
        <v>55000000</v>
      </c>
      <c r="U33" s="3">
        <v>87800000</v>
      </c>
      <c r="V33" s="3">
        <f>13000000*1.125365744</f>
        <v>14629754.672</v>
      </c>
      <c r="W33" s="29">
        <f t="shared" si="12"/>
        <v>0.54380242311276794</v>
      </c>
      <c r="X33" s="43">
        <f t="shared" si="16"/>
        <v>0.40585221980751318</v>
      </c>
      <c r="Y33" s="43">
        <f t="shared" si="14"/>
        <v>0.47381443298969073</v>
      </c>
      <c r="Z33" s="43">
        <f t="shared" si="9"/>
        <v>0.44177954517211382</v>
      </c>
      <c r="AA33" s="43">
        <f t="shared" si="17"/>
        <v>0.26780729762837119</v>
      </c>
      <c r="AB33" s="44">
        <f t="shared" si="1"/>
        <v>0.44177954517211382</v>
      </c>
      <c r="AC33" s="30">
        <f>SUM(V33,P33)/J33</f>
        <v>2.4904214559386972E-2</v>
      </c>
      <c r="AD33" s="3">
        <f t="shared" si="15"/>
        <v>14629754.672</v>
      </c>
      <c r="AE33" s="3">
        <f t="shared" si="3"/>
        <v>3555000000</v>
      </c>
      <c r="AG33" s="44">
        <f t="shared" si="10"/>
        <v>0.45779698908090227</v>
      </c>
    </row>
    <row r="34" spans="1:33" x14ac:dyDescent="0.3">
      <c r="A34" s="28" t="s">
        <v>46</v>
      </c>
      <c r="B34" s="28" t="s">
        <v>24</v>
      </c>
      <c r="C34" s="3" t="s">
        <v>66</v>
      </c>
      <c r="D34" s="3" t="s">
        <v>120</v>
      </c>
      <c r="E34" s="3">
        <v>3920000000</v>
      </c>
      <c r="F34" s="3">
        <v>2394000000</v>
      </c>
      <c r="G34" s="3">
        <v>6220000000</v>
      </c>
      <c r="H34" s="3">
        <v>9843000000</v>
      </c>
      <c r="I34" s="3">
        <v>10479000000</v>
      </c>
      <c r="J34" s="3">
        <v>6221000000</v>
      </c>
      <c r="K34" s="3">
        <v>5124000000</v>
      </c>
      <c r="L34" s="3">
        <v>5167000000</v>
      </c>
      <c r="M34" s="3">
        <v>5172000000</v>
      </c>
      <c r="N34" s="3">
        <v>5695000000</v>
      </c>
      <c r="O34" s="3">
        <v>5927000000</v>
      </c>
      <c r="P34" s="3">
        <v>3128000000</v>
      </c>
      <c r="Q34" s="3">
        <v>3434000000</v>
      </c>
      <c r="R34" s="3">
        <v>4014000000</v>
      </c>
      <c r="S34" s="3">
        <v>9091000000</v>
      </c>
      <c r="T34" s="3">
        <v>4780000000</v>
      </c>
      <c r="U34" s="3">
        <v>3736000000</v>
      </c>
      <c r="V34" s="3">
        <v>1281000000</v>
      </c>
      <c r="W34" s="29">
        <f t="shared" si="12"/>
        <v>2.1831632653061224</v>
      </c>
      <c r="X34" s="29">
        <f t="shared" si="16"/>
        <v>3.8350041771094401</v>
      </c>
      <c r="Y34" s="29">
        <f t="shared" si="14"/>
        <v>2.2930868167202574</v>
      </c>
      <c r="Z34" s="29">
        <f t="shared" si="9"/>
        <v>1.0642080666463476</v>
      </c>
      <c r="AA34" s="29">
        <f t="shared" si="17"/>
        <v>0.92212997423418264</v>
      </c>
      <c r="AB34" s="44">
        <f t="shared" si="1"/>
        <v>2.1831632653061224</v>
      </c>
      <c r="AC34" s="29">
        <f>SUM(V34,P34)/J34</f>
        <v>0.70872850024111878</v>
      </c>
      <c r="AD34" s="3">
        <f t="shared" si="15"/>
        <v>4409000000</v>
      </c>
      <c r="AE34" s="3">
        <f t="shared" si="3"/>
        <v>10475000000</v>
      </c>
      <c r="AG34" s="44">
        <f t="shared" si="10"/>
        <v>2.2381250410131899</v>
      </c>
    </row>
    <row r="35" spans="1:33" x14ac:dyDescent="0.3">
      <c r="A35" s="28" t="s">
        <v>38</v>
      </c>
      <c r="B35" s="28" t="s">
        <v>13</v>
      </c>
      <c r="C35" s="3" t="s">
        <v>66</v>
      </c>
      <c r="D35" s="3" t="s">
        <v>120</v>
      </c>
      <c r="E35" s="3">
        <v>20539000000</v>
      </c>
      <c r="F35" s="3">
        <v>25489000000</v>
      </c>
      <c r="G35" s="3">
        <v>16571000000</v>
      </c>
      <c r="H35" s="3">
        <v>39240000000</v>
      </c>
      <c r="I35" s="3">
        <v>44281000000</v>
      </c>
      <c r="J35" s="3">
        <f>10572000000+11202000000</f>
        <v>21774000000</v>
      </c>
      <c r="K35" s="3">
        <v>11006000000</v>
      </c>
      <c r="L35" s="3">
        <v>11845000000</v>
      </c>
      <c r="M35" s="3">
        <v>12699000000</v>
      </c>
      <c r="N35" s="3">
        <v>13811000000</v>
      </c>
      <c r="O35" s="3">
        <v>15137000000</v>
      </c>
      <c r="P35" s="3">
        <f>3876000000+3865000000</f>
        <v>7741000000</v>
      </c>
      <c r="Q35" s="3">
        <v>15969000000</v>
      </c>
      <c r="R35" s="3">
        <v>11788000000</v>
      </c>
      <c r="S35" s="3">
        <v>10721000000</v>
      </c>
      <c r="T35" s="3">
        <v>19543000000</v>
      </c>
      <c r="U35" s="3">
        <v>22968000000</v>
      </c>
      <c r="V35" s="3">
        <f>7059000000+5791000000</f>
        <v>12850000000</v>
      </c>
      <c r="W35" s="29">
        <f t="shared" si="12"/>
        <v>1.3133550805784118</v>
      </c>
      <c r="X35" s="29">
        <f t="shared" si="16"/>
        <v>0.92718427556985361</v>
      </c>
      <c r="Y35" s="29">
        <f t="shared" si="14"/>
        <v>1.4133124132520669</v>
      </c>
      <c r="Z35" s="29">
        <f t="shared" si="9"/>
        <v>0.85</v>
      </c>
      <c r="AA35" s="29">
        <f t="shared" si="17"/>
        <v>0.86052708836747138</v>
      </c>
      <c r="AB35" s="44">
        <f t="shared" ref="AB35:AB61" si="18">MEDIAN(W35:AA35)</f>
        <v>0.92718427556985361</v>
      </c>
      <c r="AC35" s="30">
        <f>SUM(V35,P35)/J35</f>
        <v>0.94566914668871127</v>
      </c>
      <c r="AD35" s="3">
        <f t="shared" si="15"/>
        <v>20591000000</v>
      </c>
      <c r="AE35" s="3">
        <f t="shared" ref="AE35:AE61" si="19">T35+N35</f>
        <v>33354000000</v>
      </c>
      <c r="AG35" s="44">
        <f t="shared" si="10"/>
        <v>1.1202696780741328</v>
      </c>
    </row>
    <row r="36" spans="1:33" x14ac:dyDescent="0.3">
      <c r="A36" s="15" t="s">
        <v>170</v>
      </c>
      <c r="B36" s="15" t="s">
        <v>88</v>
      </c>
      <c r="C36" s="15" t="s">
        <v>91</v>
      </c>
      <c r="D36" s="3" t="s">
        <v>122</v>
      </c>
      <c r="E36" s="3">
        <v>-190600000</v>
      </c>
      <c r="F36" s="3">
        <v>356900000</v>
      </c>
      <c r="G36" s="3">
        <v>606000000</v>
      </c>
      <c r="H36" s="3">
        <v>640500000</v>
      </c>
      <c r="I36" s="3">
        <v>951600000</v>
      </c>
      <c r="J36" s="3">
        <f>12117000000*0.057639545</f>
        <v>698418366.76499999</v>
      </c>
      <c r="K36" s="3">
        <v>1443400000</v>
      </c>
      <c r="L36" s="3">
        <v>1015500000</v>
      </c>
      <c r="M36" s="3">
        <v>781000000</v>
      </c>
      <c r="N36" s="3">
        <v>668300000</v>
      </c>
      <c r="O36" s="3">
        <v>571200000</v>
      </c>
      <c r="P36" s="3">
        <f>6408000000*0.057639545</f>
        <v>369354204.36000001</v>
      </c>
      <c r="Q36" s="3">
        <v>192900000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29">
        <f>-(SUM(K36,Q36)-E36)/E36</f>
        <v>9.5849947534102835</v>
      </c>
      <c r="X36" s="45">
        <f t="shared" si="16"/>
        <v>2.8453348276828243</v>
      </c>
      <c r="Y36" s="45">
        <f t="shared" si="14"/>
        <v>1.2887788778877889</v>
      </c>
      <c r="Z36" s="45">
        <f t="shared" si="9"/>
        <v>1.0434035909445745</v>
      </c>
      <c r="AA36" s="36">
        <f t="shared" si="17"/>
        <v>0.60025220680958391</v>
      </c>
      <c r="AB36" s="44">
        <f t="shared" si="18"/>
        <v>1.2887788778877889</v>
      </c>
      <c r="AC36" s="29">
        <f>SUM(V36,P36)/J36</f>
        <v>0.52884377321119092</v>
      </c>
      <c r="AD36" s="3">
        <f t="shared" si="15"/>
        <v>369354204.36000001</v>
      </c>
      <c r="AE36" s="3">
        <f t="shared" si="19"/>
        <v>668300000</v>
      </c>
      <c r="AG36" s="44">
        <f t="shared" si="10"/>
        <v>2.0670568527853064</v>
      </c>
    </row>
    <row r="37" spans="1:33" x14ac:dyDescent="0.3">
      <c r="A37" s="28" t="s">
        <v>145</v>
      </c>
      <c r="B37" s="32" t="s">
        <v>23</v>
      </c>
      <c r="C37" s="32" t="s">
        <v>81</v>
      </c>
      <c r="D37" s="3" t="s">
        <v>120</v>
      </c>
      <c r="E37" s="3">
        <v>8398500000</v>
      </c>
      <c r="F37" s="3">
        <v>7342800000</v>
      </c>
      <c r="G37" s="3">
        <v>10300200000</v>
      </c>
      <c r="H37" s="3">
        <v>13019200000</v>
      </c>
      <c r="I37" s="3">
        <v>14275800000</v>
      </c>
      <c r="J37" s="3">
        <f>5883000000*1.055899309</f>
        <v>6211855634.8470001</v>
      </c>
      <c r="K37" s="3">
        <v>6829200000</v>
      </c>
      <c r="L37" s="3">
        <v>7312000000</v>
      </c>
      <c r="M37" s="3">
        <v>7240100000</v>
      </c>
      <c r="N37" s="3">
        <v>7465200000</v>
      </c>
      <c r="O37" s="3">
        <v>8130400000</v>
      </c>
      <c r="P37" s="37">
        <f>7700000000*1.055899309</f>
        <v>8130424679.2999992</v>
      </c>
      <c r="Q37" s="3">
        <v>0</v>
      </c>
      <c r="R37" s="3">
        <v>3381000000</v>
      </c>
      <c r="S37" s="3">
        <v>6965700000</v>
      </c>
      <c r="T37" s="3">
        <v>10091000000</v>
      </c>
      <c r="U37" s="3">
        <v>10406900000</v>
      </c>
      <c r="V37" s="3">
        <f>4232000000*1.055899309</f>
        <v>4468565875.6879997</v>
      </c>
      <c r="W37" s="29">
        <f t="shared" ref="W37:W50" si="20">SUM(K37,Q37)/E37</f>
        <v>0.81314520450080374</v>
      </c>
      <c r="X37" s="43">
        <f t="shared" si="16"/>
        <v>1.4562564689219371</v>
      </c>
      <c r="Y37" s="43">
        <f t="shared" si="14"/>
        <v>1.3791771033572164</v>
      </c>
      <c r="Z37" s="50">
        <f t="shared" si="9"/>
        <v>1.3484853139977879</v>
      </c>
      <c r="AA37" s="50">
        <f t="shared" si="17"/>
        <v>1.2985121674442064</v>
      </c>
      <c r="AB37" s="44">
        <f t="shared" si="18"/>
        <v>1.3484853139977879</v>
      </c>
      <c r="AC37" s="29"/>
      <c r="AD37" s="3">
        <f t="shared" si="15"/>
        <v>12598990554.987999</v>
      </c>
      <c r="AE37" s="3">
        <f t="shared" si="19"/>
        <v>17556200000</v>
      </c>
      <c r="AG37" s="44">
        <f t="shared" si="10"/>
        <v>1.3638312086775022</v>
      </c>
    </row>
    <row r="38" spans="1:33" x14ac:dyDescent="0.3">
      <c r="A38" s="33" t="s">
        <v>160</v>
      </c>
      <c r="B38" s="15" t="s">
        <v>21</v>
      </c>
      <c r="C38" s="33" t="s">
        <v>93</v>
      </c>
      <c r="D38" s="3" t="s">
        <v>122</v>
      </c>
      <c r="E38" s="3">
        <v>93200000</v>
      </c>
      <c r="F38" s="3">
        <v>91800000</v>
      </c>
      <c r="G38" s="3">
        <v>53300000</v>
      </c>
      <c r="H38" s="3">
        <v>44500000</v>
      </c>
      <c r="I38" s="3">
        <v>21600000</v>
      </c>
      <c r="J38" s="3">
        <f>5586000000*0.002580645</f>
        <v>14415482.969999999</v>
      </c>
      <c r="K38" s="3">
        <v>118300000</v>
      </c>
      <c r="L38" s="3">
        <v>66800000</v>
      </c>
      <c r="M38" s="3">
        <v>81000000</v>
      </c>
      <c r="N38" s="3">
        <v>51500000</v>
      </c>
      <c r="O38" s="3">
        <v>11300000</v>
      </c>
      <c r="P38" s="3">
        <f>354000000*0.002580645</f>
        <v>913548.33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51">
        <f t="shared" si="20"/>
        <v>1.2693133047210301</v>
      </c>
      <c r="X38" s="36">
        <f t="shared" si="16"/>
        <v>0.72766884531590414</v>
      </c>
      <c r="Y38" s="45">
        <f t="shared" si="14"/>
        <v>1.5196998123827392</v>
      </c>
      <c r="Z38" s="46">
        <v>1.1573</v>
      </c>
      <c r="AA38" s="36">
        <f t="shared" si="17"/>
        <v>0.52314814814814814</v>
      </c>
      <c r="AB38" s="44">
        <f t="shared" si="18"/>
        <v>1.1573</v>
      </c>
      <c r="AC38" s="29">
        <f>SUM(V38,P38)/J38</f>
        <v>6.3372717508055856E-2</v>
      </c>
      <c r="AD38" s="3">
        <f t="shared" si="15"/>
        <v>913548.33</v>
      </c>
      <c r="AE38" s="3">
        <f t="shared" si="19"/>
        <v>51500000</v>
      </c>
      <c r="AG38" s="44">
        <f t="shared" si="10"/>
        <v>1.2133066523605152</v>
      </c>
    </row>
    <row r="39" spans="1:33" x14ac:dyDescent="0.3">
      <c r="A39" s="28" t="s">
        <v>156</v>
      </c>
      <c r="B39" s="32" t="s">
        <v>24</v>
      </c>
      <c r="C39" s="32" t="s">
        <v>81</v>
      </c>
      <c r="D39" s="3" t="s">
        <v>120</v>
      </c>
      <c r="E39" s="3">
        <v>6712000000</v>
      </c>
      <c r="F39" s="3">
        <v>7703000000</v>
      </c>
      <c r="G39" s="3">
        <v>12611000000</v>
      </c>
      <c r="H39" s="3">
        <v>11732000000</v>
      </c>
      <c r="I39" s="3">
        <v>7210000000</v>
      </c>
      <c r="J39" s="3">
        <v>4043000000</v>
      </c>
      <c r="K39" s="3">
        <v>6475000000</v>
      </c>
      <c r="L39" s="3">
        <v>6495000000</v>
      </c>
      <c r="M39" s="3">
        <v>6966000000</v>
      </c>
      <c r="N39" s="3">
        <v>6645000000</v>
      </c>
      <c r="O39" s="3">
        <v>6987000000</v>
      </c>
      <c r="P39" s="37">
        <v>6987000000</v>
      </c>
      <c r="Q39" s="3">
        <v>1109000000</v>
      </c>
      <c r="R39" s="3">
        <v>5490000000</v>
      </c>
      <c r="S39" s="3">
        <v>2036000000</v>
      </c>
      <c r="T39" s="3">
        <v>5533000000</v>
      </c>
      <c r="U39" s="3">
        <v>3093000000</v>
      </c>
      <c r="V39" s="3">
        <v>150000000</v>
      </c>
      <c r="W39" s="42">
        <f t="shared" si="20"/>
        <v>1.1299165673420739</v>
      </c>
      <c r="X39" s="29">
        <f t="shared" si="16"/>
        <v>1.5558873166298846</v>
      </c>
      <c r="Y39" s="43">
        <f t="shared" si="14"/>
        <v>0.7138212671477282</v>
      </c>
      <c r="Z39" s="43">
        <f t="shared" ref="Z39:Z57" si="21">SUM(N39,T39)/H39</f>
        <v>1.0380156836004091</v>
      </c>
      <c r="AA39" s="29">
        <f t="shared" si="17"/>
        <v>1.3980582524271845</v>
      </c>
      <c r="AB39" s="44">
        <f t="shared" si="18"/>
        <v>1.1299165673420739</v>
      </c>
      <c r="AC39" s="29"/>
      <c r="AD39" s="3">
        <f t="shared" si="15"/>
        <v>7137000000</v>
      </c>
      <c r="AE39" s="3">
        <f t="shared" si="19"/>
        <v>12178000000</v>
      </c>
      <c r="AG39" s="44">
        <f t="shared" si="10"/>
        <v>1.0839661254712416</v>
      </c>
    </row>
    <row r="40" spans="1:33" x14ac:dyDescent="0.3">
      <c r="A40" s="14" t="s">
        <v>152</v>
      </c>
      <c r="B40" s="32" t="s">
        <v>24</v>
      </c>
      <c r="C40" s="32" t="s">
        <v>125</v>
      </c>
      <c r="D40" s="32" t="s">
        <v>125</v>
      </c>
      <c r="E40" s="3">
        <v>5385000000</v>
      </c>
      <c r="F40" s="3">
        <v>6149000000</v>
      </c>
      <c r="G40" s="3">
        <v>5925000000</v>
      </c>
      <c r="H40" s="3">
        <v>5850000000</v>
      </c>
      <c r="I40" s="3">
        <v>6253700000</v>
      </c>
      <c r="J40" s="3">
        <f>22522000000*0.150934055</f>
        <v>3399336786.71</v>
      </c>
      <c r="K40" s="3">
        <v>3384000000</v>
      </c>
      <c r="L40" s="3">
        <v>3039000000</v>
      </c>
      <c r="M40" s="3">
        <v>2922000000</v>
      </c>
      <c r="N40" s="3">
        <v>2915000000</v>
      </c>
      <c r="O40" s="3">
        <v>2966000000</v>
      </c>
      <c r="P40" s="3">
        <f>12551000000*0.150934055</f>
        <v>1894373324.3050001</v>
      </c>
      <c r="Q40" s="3">
        <v>2138000000</v>
      </c>
      <c r="R40" s="3">
        <v>2717000000</v>
      </c>
      <c r="S40" s="3">
        <v>2388000000</v>
      </c>
      <c r="T40" s="3">
        <v>2303000000</v>
      </c>
      <c r="U40" s="3">
        <v>2417000000</v>
      </c>
      <c r="V40" s="3">
        <f>8211000000*0.150934055</f>
        <v>1239319525.605</v>
      </c>
      <c r="W40" s="42">
        <f t="shared" si="20"/>
        <v>1.0254410399257197</v>
      </c>
      <c r="X40" s="29">
        <f t="shared" si="16"/>
        <v>0.93608716864530817</v>
      </c>
      <c r="Y40" s="43">
        <f t="shared" si="14"/>
        <v>0.89620253164556962</v>
      </c>
      <c r="Z40" s="43">
        <f t="shared" si="21"/>
        <v>0.89196581196581193</v>
      </c>
      <c r="AA40" s="29">
        <f t="shared" si="17"/>
        <v>0.86077042390904579</v>
      </c>
      <c r="AB40" s="44">
        <f t="shared" si="18"/>
        <v>0.89620253164556962</v>
      </c>
      <c r="AC40" s="30">
        <f>SUM(V40,P40)/J40</f>
        <v>0.92185418701713873</v>
      </c>
      <c r="AD40" s="3">
        <f t="shared" si="15"/>
        <v>3133692849.9099998</v>
      </c>
      <c r="AE40" s="3">
        <f t="shared" si="19"/>
        <v>5218000000</v>
      </c>
      <c r="AG40" s="44">
        <f t="shared" si="10"/>
        <v>0.91614485014543889</v>
      </c>
    </row>
    <row r="41" spans="1:33" ht="14.55" customHeight="1" x14ac:dyDescent="0.3">
      <c r="A41" s="15" t="s">
        <v>164</v>
      </c>
      <c r="B41" s="15" t="s">
        <v>20</v>
      </c>
      <c r="C41" s="15" t="s">
        <v>89</v>
      </c>
      <c r="D41" s="3"/>
      <c r="E41" s="3">
        <v>1942700000</v>
      </c>
      <c r="F41" s="3">
        <v>3768700000</v>
      </c>
      <c r="G41" s="3">
        <v>3397000000</v>
      </c>
      <c r="H41" s="3">
        <v>4401400000</v>
      </c>
      <c r="I41" s="3">
        <v>1448500000</v>
      </c>
      <c r="J41" s="3"/>
      <c r="K41" s="3">
        <v>741900000</v>
      </c>
      <c r="L41" s="3">
        <v>2369000000</v>
      </c>
      <c r="M41" s="3">
        <v>1459200000</v>
      </c>
      <c r="N41" s="3">
        <v>1909700000</v>
      </c>
      <c r="O41" s="3">
        <v>1101900000</v>
      </c>
      <c r="P41" s="3"/>
      <c r="Q41" s="3">
        <v>73300000</v>
      </c>
      <c r="R41" s="3">
        <v>0</v>
      </c>
      <c r="S41" s="3">
        <v>0</v>
      </c>
      <c r="T41" s="3">
        <v>582400000</v>
      </c>
      <c r="U41" s="3">
        <v>2200000</v>
      </c>
      <c r="V41" s="3"/>
      <c r="W41" s="51">
        <f t="shared" si="20"/>
        <v>0.41962217532300405</v>
      </c>
      <c r="X41" s="36">
        <f t="shared" si="16"/>
        <v>0.62859872104439196</v>
      </c>
      <c r="Y41" s="45">
        <f t="shared" si="14"/>
        <v>0.42955549013835737</v>
      </c>
      <c r="Z41" s="45">
        <f t="shared" si="21"/>
        <v>0.56620620711591763</v>
      </c>
      <c r="AA41" s="47">
        <f t="shared" si="17"/>
        <v>0.76223679668622712</v>
      </c>
      <c r="AB41" s="44">
        <f t="shared" si="18"/>
        <v>0.56620620711591763</v>
      </c>
      <c r="AC41" s="29"/>
      <c r="AD41" s="3">
        <f t="shared" si="15"/>
        <v>0</v>
      </c>
      <c r="AE41" s="3">
        <f t="shared" si="19"/>
        <v>2492100000</v>
      </c>
      <c r="AG41" s="44">
        <f t="shared" si="10"/>
        <v>0.4978808486271375</v>
      </c>
    </row>
    <row r="42" spans="1:33" x14ac:dyDescent="0.3">
      <c r="A42" s="28" t="s">
        <v>42</v>
      </c>
      <c r="B42" s="28" t="s">
        <v>13</v>
      </c>
      <c r="C42" s="3" t="s">
        <v>66</v>
      </c>
      <c r="D42" s="3" t="s">
        <v>66</v>
      </c>
      <c r="E42" s="3">
        <v>8901000000</v>
      </c>
      <c r="F42" s="3">
        <v>9335000000</v>
      </c>
      <c r="G42" s="3">
        <v>3825000000</v>
      </c>
      <c r="H42" s="3">
        <v>11083000000</v>
      </c>
      <c r="I42" s="3">
        <v>10135000000</v>
      </c>
      <c r="J42" s="3"/>
      <c r="K42" s="3">
        <v>2541000000</v>
      </c>
      <c r="L42" s="3">
        <v>2631000000</v>
      </c>
      <c r="M42" s="3">
        <v>3070000000</v>
      </c>
      <c r="N42" s="3">
        <v>2932000000</v>
      </c>
      <c r="O42" s="3">
        <v>3136000000</v>
      </c>
      <c r="P42" s="3"/>
      <c r="Q42" s="3">
        <v>10529000000</v>
      </c>
      <c r="R42" s="3">
        <v>3844000000</v>
      </c>
      <c r="S42" s="3">
        <v>11853000000</v>
      </c>
      <c r="T42" s="3">
        <v>36643000000</v>
      </c>
      <c r="U42" s="3">
        <v>19905000000</v>
      </c>
      <c r="V42" s="3"/>
      <c r="W42" s="42">
        <f t="shared" si="20"/>
        <v>1.4683743399618021</v>
      </c>
      <c r="X42" s="29">
        <f t="shared" si="16"/>
        <v>0.69362613818960905</v>
      </c>
      <c r="Y42" s="29">
        <f t="shared" si="14"/>
        <v>3.9014379084967321</v>
      </c>
      <c r="Z42" s="29">
        <f t="shared" si="21"/>
        <v>3.5707840837318416</v>
      </c>
      <c r="AA42" s="29">
        <f t="shared" si="17"/>
        <v>2.2734089787863838</v>
      </c>
      <c r="AB42" s="44">
        <f t="shared" si="18"/>
        <v>2.2734089787863838</v>
      </c>
      <c r="AC42" s="29"/>
      <c r="AD42" s="3">
        <f t="shared" si="15"/>
        <v>0</v>
      </c>
      <c r="AE42" s="3">
        <f t="shared" si="19"/>
        <v>39575000000</v>
      </c>
      <c r="AG42" s="44">
        <f t="shared" si="10"/>
        <v>2.5195792118468221</v>
      </c>
    </row>
    <row r="43" spans="1:33" x14ac:dyDescent="0.3">
      <c r="A43" s="15" t="s">
        <v>140</v>
      </c>
      <c r="B43" s="15" t="s">
        <v>16</v>
      </c>
      <c r="C43" s="15" t="s">
        <v>94</v>
      </c>
      <c r="D43" s="3"/>
      <c r="E43" s="3">
        <v>-4555200000</v>
      </c>
      <c r="F43" s="3">
        <v>134600000</v>
      </c>
      <c r="G43" s="3">
        <v>6659000000</v>
      </c>
      <c r="H43" s="3">
        <v>9985300000</v>
      </c>
      <c r="I43" s="3">
        <v>-6204100000</v>
      </c>
      <c r="J43" s="3">
        <f>-51236000000*0.182495073</f>
        <v>-9350317560.2280006</v>
      </c>
      <c r="K43" s="3">
        <v>0</v>
      </c>
      <c r="L43" s="3">
        <v>0</v>
      </c>
      <c r="M43" s="3">
        <v>611700000</v>
      </c>
      <c r="N43" s="3">
        <v>1863000000</v>
      </c>
      <c r="O43" s="3">
        <v>1455000000</v>
      </c>
      <c r="P43" s="3">
        <f>4426000000*0.182495073</f>
        <v>807723193.09800005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51">
        <f t="shared" si="20"/>
        <v>0</v>
      </c>
      <c r="X43" s="36">
        <f t="shared" si="16"/>
        <v>0</v>
      </c>
      <c r="Y43" s="45">
        <f t="shared" si="14"/>
        <v>9.1860639735696054E-2</v>
      </c>
      <c r="Z43" s="45">
        <f t="shared" si="21"/>
        <v>0.18657426416832745</v>
      </c>
      <c r="AA43" s="43">
        <f>-(SUM(O43,U43)-I43)/I43</f>
        <v>1.2345223320062539</v>
      </c>
      <c r="AB43" s="44">
        <f t="shared" si="18"/>
        <v>9.1860639735696054E-2</v>
      </c>
      <c r="AC43" s="29">
        <f>-(SUM(V43,P43)-J43)/J43</f>
        <v>1.0863845733468653</v>
      </c>
      <c r="AD43" s="3">
        <f t="shared" si="15"/>
        <v>807723193.09800005</v>
      </c>
      <c r="AE43" s="3">
        <f t="shared" si="19"/>
        <v>1863000000</v>
      </c>
      <c r="AG43" s="44">
        <f t="shared" si="10"/>
        <v>4.5930319867848027E-2</v>
      </c>
    </row>
    <row r="44" spans="1:33" x14ac:dyDescent="0.3">
      <c r="A44" s="14" t="s">
        <v>39</v>
      </c>
      <c r="B44" s="14" t="s">
        <v>24</v>
      </c>
      <c r="C44" s="38" t="s">
        <v>66</v>
      </c>
      <c r="D44" s="38" t="s">
        <v>120</v>
      </c>
      <c r="E44" s="3">
        <v>7215000000</v>
      </c>
      <c r="F44" s="3">
        <v>21308000000</v>
      </c>
      <c r="G44" s="3">
        <v>11153000000</v>
      </c>
      <c r="H44" s="3">
        <v>16273000000</v>
      </c>
      <c r="I44" s="3">
        <v>14172000000</v>
      </c>
      <c r="J44" s="3">
        <v>6828000000</v>
      </c>
      <c r="K44" s="3">
        <v>7317000000</v>
      </c>
      <c r="L44" s="3">
        <v>7659000000</v>
      </c>
      <c r="M44" s="3">
        <v>7978000000</v>
      </c>
      <c r="N44" s="3">
        <v>8043000000</v>
      </c>
      <c r="O44" s="3">
        <v>8212000000</v>
      </c>
      <c r="P44" s="3">
        <v>4216000000</v>
      </c>
      <c r="Q44" s="3">
        <v>5000000000</v>
      </c>
      <c r="R44" s="3">
        <v>5000000000</v>
      </c>
      <c r="S44" s="3">
        <v>12198000000</v>
      </c>
      <c r="T44" s="3">
        <v>8865000000</v>
      </c>
      <c r="U44" s="3">
        <v>0</v>
      </c>
      <c r="V44" s="3">
        <v>0</v>
      </c>
      <c r="W44" s="42">
        <f t="shared" si="20"/>
        <v>1.7071379071379071</v>
      </c>
      <c r="X44" s="29">
        <f t="shared" si="16"/>
        <v>0.59409611413553598</v>
      </c>
      <c r="Y44" s="29">
        <f t="shared" si="14"/>
        <v>1.8090199946202816</v>
      </c>
      <c r="Z44" s="29">
        <f t="shared" si="21"/>
        <v>1.0390216923738709</v>
      </c>
      <c r="AA44" s="45">
        <f t="shared" ref="AA44:AA51" si="22">SUM(O44,U44)/I44</f>
        <v>0.57945244143381314</v>
      </c>
      <c r="AB44" s="44">
        <f t="shared" si="18"/>
        <v>1.0390216923738709</v>
      </c>
      <c r="AC44" s="30">
        <f>SUM(V44,P44)/J44</f>
        <v>0.61745752782659635</v>
      </c>
      <c r="AD44" s="3">
        <f t="shared" si="15"/>
        <v>4216000000</v>
      </c>
      <c r="AE44" s="3">
        <f t="shared" si="19"/>
        <v>16908000000</v>
      </c>
      <c r="AG44" s="44">
        <f t="shared" si="10"/>
        <v>1.373079799755889</v>
      </c>
    </row>
    <row r="45" spans="1:33" x14ac:dyDescent="0.3">
      <c r="A45" s="14" t="s">
        <v>151</v>
      </c>
      <c r="B45" s="15" t="s">
        <v>20</v>
      </c>
      <c r="C45" s="15" t="s">
        <v>89</v>
      </c>
      <c r="D45" s="32" t="s">
        <v>122</v>
      </c>
      <c r="E45" s="3">
        <v>899000000</v>
      </c>
      <c r="F45" s="3">
        <v>1150000000</v>
      </c>
      <c r="G45" s="3">
        <v>1261000000</v>
      </c>
      <c r="H45" s="3">
        <v>1448000000</v>
      </c>
      <c r="I45" s="3">
        <v>1403900000</v>
      </c>
      <c r="J45" s="3">
        <f>20484000000*0.013238247</f>
        <v>271172251.54799998</v>
      </c>
      <c r="K45" s="3">
        <v>167000000</v>
      </c>
      <c r="L45" s="3">
        <v>203000000</v>
      </c>
      <c r="M45" s="3">
        <v>466000000</v>
      </c>
      <c r="N45" s="3">
        <v>652000000</v>
      </c>
      <c r="O45" s="3">
        <v>588000000</v>
      </c>
      <c r="P45" s="3"/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/>
      <c r="W45" s="51">
        <f t="shared" si="20"/>
        <v>0.185761957730812</v>
      </c>
      <c r="X45" s="36">
        <f t="shared" si="16"/>
        <v>0.17652173913043478</v>
      </c>
      <c r="Y45" s="45">
        <f t="shared" si="14"/>
        <v>0.3695479777954005</v>
      </c>
      <c r="Z45" s="45">
        <f t="shared" si="21"/>
        <v>0.45027624309392267</v>
      </c>
      <c r="AA45" s="36">
        <f t="shared" si="22"/>
        <v>0.41883325023149798</v>
      </c>
      <c r="AB45" s="44">
        <f t="shared" si="18"/>
        <v>0.3695479777954005</v>
      </c>
      <c r="AC45" s="29"/>
      <c r="AD45" s="3">
        <f t="shared" si="15"/>
        <v>0</v>
      </c>
      <c r="AE45" s="3">
        <f t="shared" si="19"/>
        <v>652000000</v>
      </c>
      <c r="AG45" s="44">
        <f t="shared" si="10"/>
        <v>0.27765496776310628</v>
      </c>
    </row>
    <row r="46" spans="1:33" x14ac:dyDescent="0.3">
      <c r="A46" s="28" t="s">
        <v>52</v>
      </c>
      <c r="B46" s="28" t="s">
        <v>23</v>
      </c>
      <c r="C46" s="3" t="s">
        <v>66</v>
      </c>
      <c r="D46" s="3" t="s">
        <v>120</v>
      </c>
      <c r="E46" s="3">
        <v>10508000000</v>
      </c>
      <c r="F46" s="3">
        <v>15326000000</v>
      </c>
      <c r="G46" s="3">
        <v>9750000000</v>
      </c>
      <c r="H46" s="3">
        <v>3897000000</v>
      </c>
      <c r="I46" s="3">
        <v>13027000000</v>
      </c>
      <c r="J46" s="15"/>
      <c r="K46" s="3">
        <v>7436000000</v>
      </c>
      <c r="L46" s="3">
        <v>7236000000</v>
      </c>
      <c r="M46" s="3">
        <v>7310000000</v>
      </c>
      <c r="N46" s="3">
        <v>7498000000</v>
      </c>
      <c r="O46" s="3">
        <v>7789000000</v>
      </c>
      <c r="P46" s="15"/>
      <c r="Q46" s="3">
        <v>4004000000</v>
      </c>
      <c r="R46" s="3">
        <v>5204000000</v>
      </c>
      <c r="S46" s="3">
        <v>7004000000</v>
      </c>
      <c r="T46" s="3">
        <v>5003000000</v>
      </c>
      <c r="U46" s="3">
        <v>7405000000</v>
      </c>
      <c r="V46" s="15"/>
      <c r="W46" s="42">
        <f t="shared" si="20"/>
        <v>1.0886943281309478</v>
      </c>
      <c r="X46" s="29">
        <f t="shared" si="16"/>
        <v>0.8116925486102049</v>
      </c>
      <c r="Y46" s="29">
        <f t="shared" si="14"/>
        <v>1.468102564102564</v>
      </c>
      <c r="Z46" s="29">
        <f t="shared" si="21"/>
        <v>3.207852193995381</v>
      </c>
      <c r="AA46" s="29">
        <f t="shared" si="22"/>
        <v>1.1663468181469256</v>
      </c>
      <c r="AB46" s="44">
        <f t="shared" si="18"/>
        <v>1.1663468181469256</v>
      </c>
      <c r="AC46" s="30"/>
      <c r="AD46" s="3">
        <f t="shared" si="15"/>
        <v>0</v>
      </c>
      <c r="AE46" s="3">
        <f t="shared" si="19"/>
        <v>12501000000</v>
      </c>
      <c r="AG46" s="44">
        <f t="shared" si="10"/>
        <v>1.2783984461167559</v>
      </c>
    </row>
    <row r="47" spans="1:33" x14ac:dyDescent="0.3">
      <c r="A47" s="15" t="s">
        <v>150</v>
      </c>
      <c r="B47" s="15" t="s">
        <v>20</v>
      </c>
      <c r="C47" s="15" t="s">
        <v>89</v>
      </c>
      <c r="D47" s="3" t="s">
        <v>122</v>
      </c>
      <c r="E47" s="3">
        <v>4488100000</v>
      </c>
      <c r="F47" s="3">
        <v>4614700000</v>
      </c>
      <c r="G47" s="3">
        <v>5543600000</v>
      </c>
      <c r="H47" s="3">
        <v>5713800000</v>
      </c>
      <c r="I47" s="3">
        <v>5226300000</v>
      </c>
      <c r="J47" s="3"/>
      <c r="K47" s="3">
        <v>911200000</v>
      </c>
      <c r="L47" s="3">
        <v>8200000</v>
      </c>
      <c r="M47" s="3">
        <v>500200000</v>
      </c>
      <c r="N47" s="3">
        <v>513000000</v>
      </c>
      <c r="O47" s="3">
        <v>609800000</v>
      </c>
      <c r="P47" s="3"/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/>
      <c r="W47" s="51">
        <f t="shared" si="20"/>
        <v>0.20302577928299281</v>
      </c>
      <c r="X47" s="36">
        <f t="shared" si="16"/>
        <v>1.7769302446529569E-3</v>
      </c>
      <c r="Y47" s="45">
        <f t="shared" si="14"/>
        <v>9.0230175337325927E-2</v>
      </c>
      <c r="Z47" s="45">
        <f t="shared" si="21"/>
        <v>8.9782631523679518E-2</v>
      </c>
      <c r="AA47" s="47">
        <f t="shared" si="22"/>
        <v>0.11667910376365689</v>
      </c>
      <c r="AB47" s="44">
        <f t="shared" si="18"/>
        <v>9.0230175337325927E-2</v>
      </c>
      <c r="AC47" s="29"/>
      <c r="AD47" s="3">
        <f t="shared" si="15"/>
        <v>0</v>
      </c>
      <c r="AE47" s="3">
        <f t="shared" si="19"/>
        <v>513000000</v>
      </c>
      <c r="AG47" s="44">
        <f t="shared" si="10"/>
        <v>9.0006403430502729E-2</v>
      </c>
    </row>
    <row r="48" spans="1:33" x14ac:dyDescent="0.3">
      <c r="A48" s="14" t="s">
        <v>169</v>
      </c>
      <c r="B48" s="32" t="s">
        <v>84</v>
      </c>
      <c r="C48" s="32" t="s">
        <v>123</v>
      </c>
      <c r="D48" s="32" t="s">
        <v>120</v>
      </c>
      <c r="E48" s="3">
        <v>4617000000</v>
      </c>
      <c r="F48" s="3">
        <v>8762000000</v>
      </c>
      <c r="G48" s="3">
        <v>13638000000</v>
      </c>
      <c r="H48" s="3">
        <v>8010000000</v>
      </c>
      <c r="I48" s="3">
        <v>7196000000</v>
      </c>
      <c r="J48" s="3">
        <v>3316000000</v>
      </c>
      <c r="K48" s="3">
        <v>2725000000</v>
      </c>
      <c r="L48" s="3">
        <v>4250000000</v>
      </c>
      <c r="M48" s="3">
        <v>5356000000</v>
      </c>
      <c r="N48" s="3">
        <v>5397000000</v>
      </c>
      <c r="O48" s="3">
        <v>6061000000</v>
      </c>
      <c r="P48" s="3">
        <v>3607000000</v>
      </c>
      <c r="Q48" s="3">
        <v>0</v>
      </c>
      <c r="R48" s="3">
        <v>2083000000</v>
      </c>
      <c r="S48" s="3">
        <v>5386000000</v>
      </c>
      <c r="T48" s="3">
        <v>1552000000</v>
      </c>
      <c r="U48" s="3">
        <v>772000000</v>
      </c>
      <c r="V48" s="3">
        <v>208000000</v>
      </c>
      <c r="W48" s="42">
        <f t="shared" si="20"/>
        <v>0.59021009313406969</v>
      </c>
      <c r="X48" s="29">
        <f t="shared" si="16"/>
        <v>0.72278018717187853</v>
      </c>
      <c r="Y48" s="29">
        <f t="shared" si="14"/>
        <v>0.78765214840885756</v>
      </c>
      <c r="Z48" s="29">
        <f t="shared" si="21"/>
        <v>0.86754057428214737</v>
      </c>
      <c r="AA48" s="29">
        <f t="shared" si="22"/>
        <v>0.9495553085047248</v>
      </c>
      <c r="AB48" s="44">
        <f t="shared" si="18"/>
        <v>0.78765214840885756</v>
      </c>
      <c r="AC48" s="30">
        <f>SUM(V48,P48)/J48</f>
        <v>1.1504825090470445</v>
      </c>
      <c r="AD48" s="3">
        <f t="shared" si="15"/>
        <v>3815000000</v>
      </c>
      <c r="AE48" s="3">
        <f t="shared" si="19"/>
        <v>6949000000</v>
      </c>
      <c r="AG48" s="44">
        <f t="shared" si="10"/>
        <v>0.75521616779036804</v>
      </c>
    </row>
    <row r="49" spans="1:33" ht="14.55" customHeight="1" x14ac:dyDescent="0.3">
      <c r="A49" s="28" t="s">
        <v>146</v>
      </c>
      <c r="B49" s="32" t="s">
        <v>24</v>
      </c>
      <c r="C49" s="32" t="s">
        <v>81</v>
      </c>
      <c r="D49" s="3" t="s">
        <v>120</v>
      </c>
      <c r="E49" s="3">
        <v>9427200000</v>
      </c>
      <c r="F49" s="3">
        <v>8858400000</v>
      </c>
      <c r="G49" s="3">
        <v>10671200000</v>
      </c>
      <c r="H49" s="3">
        <v>13936100000</v>
      </c>
      <c r="I49" s="3">
        <v>13681000000</v>
      </c>
      <c r="J49" s="3">
        <v>8079000000</v>
      </c>
      <c r="K49" s="3">
        <v>6801700000</v>
      </c>
      <c r="L49" s="3">
        <v>7180700000</v>
      </c>
      <c r="M49" s="3">
        <v>7209600000</v>
      </c>
      <c r="N49" s="3">
        <v>7691400000</v>
      </c>
      <c r="O49" s="3">
        <v>8130000000</v>
      </c>
      <c r="P49" s="37">
        <f>7700000000*1.055899309</f>
        <v>8130424679.2999992</v>
      </c>
      <c r="Q49" s="3">
        <v>551300000</v>
      </c>
      <c r="R49" s="3">
        <v>395100000</v>
      </c>
      <c r="S49" s="3">
        <v>468500000</v>
      </c>
      <c r="T49" s="3">
        <v>1040800000</v>
      </c>
      <c r="U49" s="3">
        <v>2098000000</v>
      </c>
      <c r="V49" s="3">
        <f>1380000000*1.055899309</f>
        <v>1457141046.4199998</v>
      </c>
      <c r="W49" s="42">
        <f t="shared" si="20"/>
        <v>0.77997708757637474</v>
      </c>
      <c r="X49" s="29">
        <f t="shared" si="16"/>
        <v>0.85521087329540324</v>
      </c>
      <c r="Y49" s="43">
        <f t="shared" si="14"/>
        <v>0.71951608066571704</v>
      </c>
      <c r="Z49" s="43">
        <f t="shared" si="21"/>
        <v>0.62658850036954383</v>
      </c>
      <c r="AA49" s="29">
        <f t="shared" si="22"/>
        <v>0.74760616913968281</v>
      </c>
      <c r="AB49" s="44">
        <f t="shared" si="18"/>
        <v>0.74760616913968281</v>
      </c>
      <c r="AC49" s="30"/>
      <c r="AD49" s="3">
        <f t="shared" si="15"/>
        <v>9587565725.7199993</v>
      </c>
      <c r="AE49" s="3">
        <f t="shared" si="19"/>
        <v>8732200000</v>
      </c>
      <c r="AG49" s="44">
        <f t="shared" si="10"/>
        <v>0.74974658412104589</v>
      </c>
    </row>
    <row r="50" spans="1:33" x14ac:dyDescent="0.3">
      <c r="A50" s="28" t="s">
        <v>157</v>
      </c>
      <c r="B50" s="32" t="s">
        <v>13</v>
      </c>
      <c r="C50" s="32" t="s">
        <v>71</v>
      </c>
      <c r="D50" s="3" t="s">
        <v>120</v>
      </c>
      <c r="E50" s="3">
        <v>18619400000</v>
      </c>
      <c r="F50" s="3">
        <v>38702700000</v>
      </c>
      <c r="G50" s="3">
        <v>39425900000</v>
      </c>
      <c r="H50" s="3">
        <v>18627300000</v>
      </c>
      <c r="I50" s="3">
        <v>18104200000</v>
      </c>
      <c r="J50" s="3">
        <f>5490000000000*0.000833715</f>
        <v>4577095350</v>
      </c>
      <c r="K50" s="3">
        <v>2587200000</v>
      </c>
      <c r="L50" s="3">
        <v>6369500000</v>
      </c>
      <c r="M50" s="3">
        <v>9156700000</v>
      </c>
      <c r="N50" s="3">
        <v>8349300000</v>
      </c>
      <c r="O50" s="3">
        <v>8043900000</v>
      </c>
      <c r="P50" s="3">
        <f>4810000000000*0.000833715</f>
        <v>4010169150</v>
      </c>
      <c r="Q50" s="3">
        <v>6402500000</v>
      </c>
      <c r="R50" s="3">
        <v>7816800000</v>
      </c>
      <c r="S50" s="3">
        <v>786100000</v>
      </c>
      <c r="T50" s="3">
        <v>0</v>
      </c>
      <c r="U50" s="3">
        <v>0</v>
      </c>
      <c r="V50" s="3">
        <v>0</v>
      </c>
      <c r="W50" s="42">
        <f t="shared" si="20"/>
        <v>0.48281362449917825</v>
      </c>
      <c r="X50" s="29">
        <f t="shared" si="16"/>
        <v>0.36654548649060659</v>
      </c>
      <c r="Y50" s="43">
        <f t="shared" si="14"/>
        <v>0.25218955052389419</v>
      </c>
      <c r="Z50" s="43">
        <f t="shared" si="21"/>
        <v>0.44822921196308646</v>
      </c>
      <c r="AA50" s="29">
        <f t="shared" si="22"/>
        <v>0.44431126478938587</v>
      </c>
      <c r="AB50" s="44">
        <f t="shared" si="18"/>
        <v>0.44431126478938587</v>
      </c>
      <c r="AC50" s="29">
        <f>SUM(V50,P50)/J50</f>
        <v>0.87613843351548271</v>
      </c>
      <c r="AD50" s="3">
        <f t="shared" si="15"/>
        <v>4010169150</v>
      </c>
      <c r="AE50" s="3">
        <f t="shared" si="19"/>
        <v>8349300000</v>
      </c>
      <c r="AG50" s="44">
        <f t="shared" si="10"/>
        <v>0.4073873492268465</v>
      </c>
    </row>
    <row r="51" spans="1:33" ht="14.55" customHeight="1" x14ac:dyDescent="0.3">
      <c r="A51" s="15" t="s">
        <v>141</v>
      </c>
      <c r="B51" s="15" t="s">
        <v>16</v>
      </c>
      <c r="C51" s="15" t="s">
        <v>93</v>
      </c>
      <c r="D51" s="3"/>
      <c r="E51" s="3">
        <v>-164600000</v>
      </c>
      <c r="F51" s="3">
        <v>265200000</v>
      </c>
      <c r="G51" s="3">
        <v>146600000</v>
      </c>
      <c r="H51" s="3">
        <v>277000000</v>
      </c>
      <c r="I51" s="3">
        <v>72400000</v>
      </c>
      <c r="J51" s="3">
        <v>-82400000</v>
      </c>
      <c r="K51" s="3">
        <v>22500000</v>
      </c>
      <c r="L51" s="3">
        <v>0</v>
      </c>
      <c r="M51" s="3">
        <v>58900000</v>
      </c>
      <c r="N51" s="3">
        <v>58700000</v>
      </c>
      <c r="O51" s="3">
        <v>55800000</v>
      </c>
      <c r="P51" s="3">
        <v>26500000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42">
        <f>-(SUM(K51,Q51)-E51)/E51</f>
        <v>1.1366950182260025</v>
      </c>
      <c r="X51" s="51">
        <f t="shared" si="16"/>
        <v>0</v>
      </c>
      <c r="Y51" s="45">
        <f t="shared" si="14"/>
        <v>0.40177353342428379</v>
      </c>
      <c r="Z51" s="45">
        <f t="shared" si="21"/>
        <v>0.21191335740072204</v>
      </c>
      <c r="AA51" s="51">
        <f t="shared" si="22"/>
        <v>0.77071823204419887</v>
      </c>
      <c r="AB51" s="44">
        <f t="shared" si="18"/>
        <v>0.40177353342428379</v>
      </c>
      <c r="AC51" s="29">
        <f>-(SUM(V51,P51)-J51)/J51</f>
        <v>1.3216019417475728</v>
      </c>
      <c r="AD51" s="3">
        <f t="shared" si="15"/>
        <v>26500000</v>
      </c>
      <c r="AE51" s="3">
        <f t="shared" si="19"/>
        <v>58700000</v>
      </c>
      <c r="AG51" s="44">
        <f t="shared" si="10"/>
        <v>0.30684344541250291</v>
      </c>
    </row>
    <row r="52" spans="1:33" ht="14.55" customHeight="1" x14ac:dyDescent="0.3">
      <c r="A52" s="28" t="s">
        <v>138</v>
      </c>
      <c r="B52" s="32" t="s">
        <v>16</v>
      </c>
      <c r="C52" s="3" t="s">
        <v>73</v>
      </c>
      <c r="D52" s="3" t="s">
        <v>120</v>
      </c>
      <c r="E52" s="3">
        <v>4575000000</v>
      </c>
      <c r="F52" s="3">
        <v>12977000000</v>
      </c>
      <c r="G52" s="3">
        <v>23352000000</v>
      </c>
      <c r="H52" s="3">
        <v>15842000000</v>
      </c>
      <c r="I52" s="3">
        <v>-11312000000</v>
      </c>
      <c r="J52" s="3">
        <v>-18155000000</v>
      </c>
      <c r="K52" s="3">
        <v>9677000000</v>
      </c>
      <c r="L52" s="3">
        <v>10877000000</v>
      </c>
      <c r="M52" s="3">
        <v>15675000000</v>
      </c>
      <c r="N52" s="3">
        <v>15198000000</v>
      </c>
      <c r="O52" s="3">
        <v>12378000000</v>
      </c>
      <c r="P52" s="3">
        <v>4880000000</v>
      </c>
      <c r="Q52" s="3">
        <v>160000000</v>
      </c>
      <c r="R52" s="3">
        <v>717000000</v>
      </c>
      <c r="S52" s="3">
        <v>5062000000</v>
      </c>
      <c r="T52" s="3">
        <v>11362000000</v>
      </c>
      <c r="U52" s="3">
        <v>8404000000</v>
      </c>
      <c r="V52" s="24">
        <v>1901000000</v>
      </c>
      <c r="W52" s="42">
        <f t="shared" ref="W52:W61" si="23">SUM(K52,Q52)/E52</f>
        <v>2.1501639344262293</v>
      </c>
      <c r="X52" s="29">
        <f t="shared" si="16"/>
        <v>0.89342683208753948</v>
      </c>
      <c r="Y52" s="43">
        <f t="shared" si="14"/>
        <v>0.88801815690304897</v>
      </c>
      <c r="Z52" s="43">
        <f t="shared" si="21"/>
        <v>1.6765559904052518</v>
      </c>
      <c r="AA52" s="29">
        <f>-(SUM(O52,U52)-I52)/I52</f>
        <v>2.8371640735502122</v>
      </c>
      <c r="AB52" s="44">
        <f t="shared" si="18"/>
        <v>1.6765559904052518</v>
      </c>
      <c r="AC52" s="29">
        <f>-(SUM(V52,P52)-J52)/J52</f>
        <v>1.3735059212338199</v>
      </c>
      <c r="AD52" s="3">
        <f t="shared" si="15"/>
        <v>6781000000</v>
      </c>
      <c r="AE52" s="3">
        <f t="shared" si="19"/>
        <v>26560000000</v>
      </c>
      <c r="AG52" s="44">
        <f t="shared" si="10"/>
        <v>1.2849914112463956</v>
      </c>
    </row>
    <row r="53" spans="1:33" x14ac:dyDescent="0.3">
      <c r="A53" s="15" t="s">
        <v>154</v>
      </c>
      <c r="B53" s="15" t="s">
        <v>90</v>
      </c>
      <c r="C53" s="15" t="s">
        <v>89</v>
      </c>
      <c r="D53" s="3" t="s">
        <v>122</v>
      </c>
      <c r="E53" s="3">
        <v>3662000000</v>
      </c>
      <c r="F53" s="3">
        <v>4057300000</v>
      </c>
      <c r="G53" s="3">
        <v>3968700000</v>
      </c>
      <c r="H53" s="3">
        <v>4542400000</v>
      </c>
      <c r="I53" s="3">
        <v>4132600000</v>
      </c>
      <c r="J53" s="3">
        <f>70080000000*0.013238247</f>
        <v>927736349.75999999</v>
      </c>
      <c r="K53" s="3">
        <v>1414000000</v>
      </c>
      <c r="L53" s="3">
        <v>1426700000</v>
      </c>
      <c r="M53" s="3">
        <v>1455600000</v>
      </c>
      <c r="N53" s="3">
        <v>4235900000</v>
      </c>
      <c r="O53" s="3">
        <v>3463000000</v>
      </c>
      <c r="P53" s="3">
        <f>22510000000*0.013238247</f>
        <v>297992939.96999997</v>
      </c>
      <c r="Q53" s="3">
        <v>0</v>
      </c>
      <c r="R53" s="3">
        <v>0</v>
      </c>
      <c r="S53" s="3">
        <v>2458700000</v>
      </c>
      <c r="T53" s="3">
        <v>2309300000</v>
      </c>
      <c r="U53" s="3">
        <v>0</v>
      </c>
      <c r="V53" s="3">
        <v>0</v>
      </c>
      <c r="W53" s="29">
        <f t="shared" si="23"/>
        <v>0.38612779901693062</v>
      </c>
      <c r="X53" s="29">
        <f t="shared" si="16"/>
        <v>0.35163778867719914</v>
      </c>
      <c r="Y53" s="43">
        <f t="shared" si="14"/>
        <v>0.98629274069594575</v>
      </c>
      <c r="Z53" s="45">
        <f t="shared" si="21"/>
        <v>1.440912293060937</v>
      </c>
      <c r="AA53" s="36">
        <f>SUM(O53,U53)/I53</f>
        <v>0.83797125296423558</v>
      </c>
      <c r="AB53" s="44">
        <f t="shared" si="18"/>
        <v>0.83797125296423558</v>
      </c>
      <c r="AC53" s="29">
        <f>SUM(V53,P53)/J53</f>
        <v>0.32120433789954334</v>
      </c>
      <c r="AD53" s="3">
        <f t="shared" si="15"/>
        <v>297992939.96999997</v>
      </c>
      <c r="AE53" s="3">
        <f t="shared" si="19"/>
        <v>6545200000</v>
      </c>
      <c r="AG53" s="44">
        <f t="shared" si="10"/>
        <v>0.68621026985643818</v>
      </c>
    </row>
    <row r="54" spans="1:33" ht="15.9" customHeight="1" x14ac:dyDescent="0.3">
      <c r="A54" s="14" t="s">
        <v>148</v>
      </c>
      <c r="B54" s="28" t="s">
        <v>14</v>
      </c>
      <c r="C54" s="3" t="s">
        <v>129</v>
      </c>
      <c r="D54" s="3" t="s">
        <v>129</v>
      </c>
      <c r="E54" s="3">
        <v>1909000000</v>
      </c>
      <c r="F54" s="3">
        <v>1346000000</v>
      </c>
      <c r="G54" s="3">
        <v>-1616000000</v>
      </c>
      <c r="H54" s="3">
        <v>1028000000</v>
      </c>
      <c r="I54" s="3">
        <v>1173800000</v>
      </c>
      <c r="J54" s="3">
        <f>678000000*1.125365744</f>
        <v>762997974.43200004</v>
      </c>
      <c r="K54" s="3">
        <v>239600000</v>
      </c>
      <c r="L54" s="3">
        <v>282200000</v>
      </c>
      <c r="M54" s="3">
        <v>293100000</v>
      </c>
      <c r="N54" s="3">
        <v>313100000</v>
      </c>
      <c r="O54" s="3">
        <v>437800000</v>
      </c>
      <c r="P54" s="3">
        <f>356000000*1.125365744</f>
        <v>400630204.86400002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29">
        <f t="shared" si="23"/>
        <v>0.12551073860660031</v>
      </c>
      <c r="X54" s="29">
        <f t="shared" si="16"/>
        <v>0.20965824665676078</v>
      </c>
      <c r="Y54" s="29">
        <f>-(SUM(M54,S54)-G54)/G54</f>
        <v>1.1813737623762377</v>
      </c>
      <c r="Z54" s="29">
        <f t="shared" si="21"/>
        <v>0.30457198443579764</v>
      </c>
      <c r="AA54" s="29">
        <f>SUM(O54,U54)/I54</f>
        <v>0.37297665701141591</v>
      </c>
      <c r="AB54" s="44">
        <f t="shared" si="18"/>
        <v>0.30457198443579764</v>
      </c>
      <c r="AC54" s="30">
        <f>SUM(V54,P54)/J54</f>
        <v>0.52507374631268433</v>
      </c>
      <c r="AD54" s="3">
        <f t="shared" si="15"/>
        <v>400630204.86400002</v>
      </c>
      <c r="AE54" s="3">
        <f t="shared" si="19"/>
        <v>313100000</v>
      </c>
      <c r="AG54" s="44">
        <f t="shared" si="10"/>
        <v>0.25711511554627919</v>
      </c>
    </row>
    <row r="55" spans="1:33" ht="14.55" customHeight="1" x14ac:dyDescent="0.3">
      <c r="A55" s="28" t="s">
        <v>126</v>
      </c>
      <c r="B55" s="32" t="s">
        <v>16</v>
      </c>
      <c r="C55" s="3" t="s">
        <v>77</v>
      </c>
      <c r="D55" s="3" t="s">
        <v>120</v>
      </c>
      <c r="E55" s="3">
        <v>6196000000</v>
      </c>
      <c r="F55" s="3">
        <v>8631000000</v>
      </c>
      <c r="G55" s="3">
        <v>11446000000</v>
      </c>
      <c r="H55" s="3">
        <v>11267000000</v>
      </c>
      <c r="I55" s="3">
        <v>-2935000000</v>
      </c>
      <c r="J55" s="3">
        <v>-8335000000</v>
      </c>
      <c r="K55" s="3">
        <v>2794000000</v>
      </c>
      <c r="L55" s="3">
        <v>2919000000</v>
      </c>
      <c r="M55" s="3">
        <v>5238000000</v>
      </c>
      <c r="N55" s="3">
        <v>7012000000</v>
      </c>
      <c r="O55" s="3">
        <v>5973000000</v>
      </c>
      <c r="P55" s="3">
        <v>4041000000</v>
      </c>
      <c r="Q55" s="3">
        <v>0</v>
      </c>
      <c r="R55" s="3">
        <v>0</v>
      </c>
      <c r="S55" s="3">
        <v>4328000000</v>
      </c>
      <c r="T55" s="3">
        <v>2810000000</v>
      </c>
      <c r="U55" s="3">
        <v>1651000000</v>
      </c>
      <c r="V55" s="3">
        <v>611000000</v>
      </c>
      <c r="W55" s="42">
        <f t="shared" si="23"/>
        <v>0.45093608779857974</v>
      </c>
      <c r="X55" s="29">
        <f t="shared" si="16"/>
        <v>0.33819951338199511</v>
      </c>
      <c r="Y55" s="43">
        <f t="shared" ref="Y55:Y61" si="24">SUM(M55,S55)/G55</f>
        <v>0.83575048051721124</v>
      </c>
      <c r="Z55" s="43">
        <f t="shared" si="21"/>
        <v>0.87174935652791341</v>
      </c>
      <c r="AA55" s="43">
        <f>-(SUM(O55,U55)-I55)/I55</f>
        <v>3.5976149914821125</v>
      </c>
      <c r="AB55" s="44">
        <f t="shared" si="18"/>
        <v>0.83575048051721124</v>
      </c>
      <c r="AC55" s="29">
        <f>-(SUM(V55,P55)-J55)/J55</f>
        <v>1.5581283743251351</v>
      </c>
      <c r="AD55" s="3">
        <f t="shared" si="15"/>
        <v>4652000000</v>
      </c>
      <c r="AE55" s="3">
        <f t="shared" si="19"/>
        <v>9822000000</v>
      </c>
      <c r="AG55" s="44">
        <f t="shared" si="10"/>
        <v>0.64334328415789543</v>
      </c>
    </row>
    <row r="56" spans="1:33" x14ac:dyDescent="0.3">
      <c r="A56" s="28" t="s">
        <v>162</v>
      </c>
      <c r="B56" s="32" t="s">
        <v>75</v>
      </c>
      <c r="C56" s="32" t="s">
        <v>76</v>
      </c>
      <c r="D56" s="3" t="s">
        <v>120</v>
      </c>
      <c r="E56" s="3">
        <v>20582900000</v>
      </c>
      <c r="F56" s="3">
        <v>16422500000</v>
      </c>
      <c r="G56" s="3">
        <v>23482700000</v>
      </c>
      <c r="H56" s="3">
        <v>16991900000</v>
      </c>
      <c r="I56" s="3">
        <v>14989000000</v>
      </c>
      <c r="J56" s="3">
        <f>158843000000*0.00927618</f>
        <v>1473456259.74</v>
      </c>
      <c r="K56" s="3">
        <v>6283000000</v>
      </c>
      <c r="L56" s="3">
        <v>5723500000</v>
      </c>
      <c r="M56" s="3">
        <v>5902700000</v>
      </c>
      <c r="N56" s="3">
        <v>5819000000</v>
      </c>
      <c r="O56" s="3">
        <v>5770100000</v>
      </c>
      <c r="P56" s="3">
        <f>331938000000*0.00927618</f>
        <v>3079116636.8400002</v>
      </c>
      <c r="Q56" s="3">
        <v>6925700000</v>
      </c>
      <c r="R56" s="3">
        <v>6313800000</v>
      </c>
      <c r="S56" s="3">
        <v>4216500000</v>
      </c>
      <c r="T56" s="3">
        <v>4960200000</v>
      </c>
      <c r="U56" s="3">
        <v>3912900000</v>
      </c>
      <c r="V56" s="3">
        <v>0</v>
      </c>
      <c r="W56" s="42">
        <f t="shared" si="23"/>
        <v>0.64173172876513995</v>
      </c>
      <c r="X56" s="29">
        <f t="shared" si="16"/>
        <v>0.73297609986299284</v>
      </c>
      <c r="Y56" s="43">
        <f t="shared" si="24"/>
        <v>0.43092148688183218</v>
      </c>
      <c r="Z56" s="43">
        <f t="shared" si="21"/>
        <v>0.63437284823945528</v>
      </c>
      <c r="AA56" s="29">
        <f t="shared" ref="AA56:AA61" si="25">SUM(O56,U56)/I56</f>
        <v>0.64600707185269202</v>
      </c>
      <c r="AB56" s="44">
        <f t="shared" si="18"/>
        <v>0.64173172876513995</v>
      </c>
      <c r="AC56" s="30">
        <f t="shared" ref="AC56:AC61" si="26">SUM(V56,P56)/J56</f>
        <v>2.0897238153396751</v>
      </c>
      <c r="AD56" s="3">
        <f t="shared" si="15"/>
        <v>3079116636.8400002</v>
      </c>
      <c r="AE56" s="3">
        <f t="shared" si="19"/>
        <v>10779200000</v>
      </c>
      <c r="AG56" s="44">
        <f t="shared" si="10"/>
        <v>0.63805228850229767</v>
      </c>
    </row>
    <row r="57" spans="1:33" ht="14.55" customHeight="1" x14ac:dyDescent="0.3">
      <c r="A57" s="28" t="s">
        <v>53</v>
      </c>
      <c r="B57" s="28" t="s">
        <v>15</v>
      </c>
      <c r="C57" s="3" t="s">
        <v>66</v>
      </c>
      <c r="D57" s="3" t="s">
        <v>66</v>
      </c>
      <c r="E57" s="3">
        <v>7017000000</v>
      </c>
      <c r="F57" s="3">
        <v>10558000000</v>
      </c>
      <c r="G57" s="3">
        <v>11986000000</v>
      </c>
      <c r="H57" s="3">
        <v>13839000000</v>
      </c>
      <c r="I57" s="3">
        <v>17098000000</v>
      </c>
      <c r="J57" s="3">
        <v>10019000000</v>
      </c>
      <c r="K57" s="3">
        <v>2261000000</v>
      </c>
      <c r="L57" s="3">
        <v>2773000000</v>
      </c>
      <c r="M57" s="3">
        <v>3320000000</v>
      </c>
      <c r="N57" s="3">
        <v>3932000000</v>
      </c>
      <c r="O57" s="3">
        <v>4260000000</v>
      </c>
      <c r="P57" s="3">
        <v>2212000000</v>
      </c>
      <c r="Q57" s="3">
        <v>1280000000</v>
      </c>
      <c r="R57" s="3">
        <v>1500000000</v>
      </c>
      <c r="S57" s="3">
        <v>4500000000</v>
      </c>
      <c r="T57" s="3">
        <v>5500000000</v>
      </c>
      <c r="U57" s="3">
        <v>2690000000</v>
      </c>
      <c r="V57" s="3">
        <v>1691000000</v>
      </c>
      <c r="W57" s="42">
        <f t="shared" si="23"/>
        <v>0.50463160894969361</v>
      </c>
      <c r="X57" s="29">
        <f t="shared" si="16"/>
        <v>0.40471680242470165</v>
      </c>
      <c r="Y57" s="29">
        <f t="shared" si="24"/>
        <v>0.65242783247121638</v>
      </c>
      <c r="Z57" s="29">
        <f t="shared" si="21"/>
        <v>0.68155213526988945</v>
      </c>
      <c r="AA57" s="29">
        <f t="shared" si="25"/>
        <v>0.40648029009240849</v>
      </c>
      <c r="AB57" s="44">
        <f t="shared" si="18"/>
        <v>0.50463160894969361</v>
      </c>
      <c r="AC57" s="29">
        <f t="shared" si="26"/>
        <v>0.3895598363110091</v>
      </c>
      <c r="AD57" s="3">
        <f t="shared" si="15"/>
        <v>3903000000</v>
      </c>
      <c r="AE57" s="3">
        <f t="shared" si="19"/>
        <v>9432000000</v>
      </c>
      <c r="AG57" s="44">
        <f t="shared" si="10"/>
        <v>0.57852972071045494</v>
      </c>
    </row>
    <row r="58" spans="1:33" x14ac:dyDescent="0.3">
      <c r="A58" s="15" t="s">
        <v>168</v>
      </c>
      <c r="B58" s="15" t="s">
        <v>92</v>
      </c>
      <c r="C58" s="15" t="s">
        <v>94</v>
      </c>
      <c r="D58" s="3" t="s">
        <v>122</v>
      </c>
      <c r="E58" s="3">
        <v>4090000000</v>
      </c>
      <c r="F58" s="3">
        <v>5321000000</v>
      </c>
      <c r="G58" s="3">
        <v>6628000000</v>
      </c>
      <c r="H58" s="3">
        <v>-1656000000</v>
      </c>
      <c r="I58" s="3">
        <v>1169000000</v>
      </c>
      <c r="J58" s="37">
        <f>6273000000*0.182495073</f>
        <v>1144791592.9290001</v>
      </c>
      <c r="K58" s="3">
        <v>263000000</v>
      </c>
      <c r="L58" s="3">
        <v>1409000000</v>
      </c>
      <c r="M58" s="3">
        <v>3207000000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997000000</v>
      </c>
      <c r="T58" s="3">
        <v>0</v>
      </c>
      <c r="U58" s="3">
        <v>0</v>
      </c>
      <c r="V58" s="3">
        <v>0</v>
      </c>
      <c r="W58" s="51">
        <f t="shared" si="23"/>
        <v>6.4303178484107576E-2</v>
      </c>
      <c r="X58" s="45">
        <f t="shared" si="16"/>
        <v>0.26479984965232101</v>
      </c>
      <c r="Y58" s="45">
        <f t="shared" si="24"/>
        <v>0.63427881713940859</v>
      </c>
      <c r="Z58" s="45">
        <f>-(SUM(N58,T58)-H58)/H58</f>
        <v>1</v>
      </c>
      <c r="AA58" s="45">
        <f t="shared" si="25"/>
        <v>0</v>
      </c>
      <c r="AB58" s="44">
        <f t="shared" si="18"/>
        <v>0.26479984965232101</v>
      </c>
      <c r="AC58" s="29">
        <f t="shared" si="26"/>
        <v>0</v>
      </c>
      <c r="AD58" s="3">
        <f t="shared" si="15"/>
        <v>0</v>
      </c>
      <c r="AE58" s="3">
        <f t="shared" si="19"/>
        <v>0</v>
      </c>
      <c r="AG58" s="44">
        <f t="shared" si="10"/>
        <v>0.44953933339586483</v>
      </c>
    </row>
    <row r="59" spans="1:33" x14ac:dyDescent="0.3">
      <c r="A59" s="28" t="s">
        <v>48</v>
      </c>
      <c r="B59" s="28" t="s">
        <v>14</v>
      </c>
      <c r="C59" s="3" t="s">
        <v>66</v>
      </c>
      <c r="D59" s="3" t="s">
        <v>66</v>
      </c>
      <c r="E59" s="3">
        <v>13127000000</v>
      </c>
      <c r="F59" s="3">
        <v>30101000000</v>
      </c>
      <c r="G59" s="3">
        <v>15528000000</v>
      </c>
      <c r="H59" s="3">
        <v>19265000000</v>
      </c>
      <c r="I59" s="3">
        <v>19145000000</v>
      </c>
      <c r="J59" s="3">
        <v>8856000000</v>
      </c>
      <c r="K59" s="3">
        <v>9262000000</v>
      </c>
      <c r="L59" s="3">
        <v>9472000000</v>
      </c>
      <c r="M59" s="3">
        <v>9772000000</v>
      </c>
      <c r="N59" s="3">
        <v>10016000000</v>
      </c>
      <c r="O59" s="3">
        <v>10125000000</v>
      </c>
      <c r="P59" s="3">
        <v>5090000000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42">
        <f t="shared" si="23"/>
        <v>0.70556867524948574</v>
      </c>
      <c r="X59" s="29">
        <f t="shared" si="16"/>
        <v>0.31467393109863462</v>
      </c>
      <c r="Y59" s="29">
        <f t="shared" si="24"/>
        <v>0.62931478619268422</v>
      </c>
      <c r="Z59" s="29">
        <f>SUM(N59,T59)/H59</f>
        <v>0.51990656631196475</v>
      </c>
      <c r="AA59" s="29">
        <f t="shared" si="25"/>
        <v>0.52885870984591277</v>
      </c>
      <c r="AB59" s="44">
        <f t="shared" si="18"/>
        <v>0.52885870984591277</v>
      </c>
      <c r="AC59" s="29">
        <f t="shared" si="26"/>
        <v>0.5747515808491418</v>
      </c>
      <c r="AD59" s="3">
        <f t="shared" si="15"/>
        <v>5090000000</v>
      </c>
      <c r="AE59" s="3">
        <f t="shared" si="19"/>
        <v>10016000000</v>
      </c>
      <c r="AG59" s="44">
        <f t="shared" si="10"/>
        <v>0.57461067625232443</v>
      </c>
    </row>
    <row r="60" spans="1:33" x14ac:dyDescent="0.3">
      <c r="A60" s="28" t="s">
        <v>37</v>
      </c>
      <c r="B60" s="28" t="s">
        <v>19</v>
      </c>
      <c r="C60" s="3" t="s">
        <v>66</v>
      </c>
      <c r="D60" s="3" t="s">
        <v>66</v>
      </c>
      <c r="E60" s="3">
        <v>5991000000</v>
      </c>
      <c r="F60" s="3">
        <v>6699000000</v>
      </c>
      <c r="G60" s="3">
        <v>10301000000</v>
      </c>
      <c r="H60" s="3">
        <v>12080000000</v>
      </c>
      <c r="I60" s="3">
        <v>11754000000</v>
      </c>
      <c r="J60" s="3">
        <v>8729000000</v>
      </c>
      <c r="K60" s="3">
        <v>1350000000</v>
      </c>
      <c r="L60" s="3">
        <v>1579000000</v>
      </c>
      <c r="M60" s="3">
        <v>1918000000</v>
      </c>
      <c r="N60" s="3">
        <v>2269000000</v>
      </c>
      <c r="O60" s="3">
        <v>2565000000</v>
      </c>
      <c r="P60" s="3">
        <v>2002000000</v>
      </c>
      <c r="Q60" s="3">
        <v>7157000000</v>
      </c>
      <c r="R60" s="3">
        <v>6891000000</v>
      </c>
      <c r="S60" s="3">
        <v>7192000000</v>
      </c>
      <c r="T60" s="3">
        <v>8607000000</v>
      </c>
      <c r="U60" s="3">
        <v>8862000000</v>
      </c>
      <c r="V60" s="3">
        <v>6730000000</v>
      </c>
      <c r="W60" s="42">
        <f t="shared" si="23"/>
        <v>1.4199632782507094</v>
      </c>
      <c r="X60" s="29">
        <f t="shared" si="16"/>
        <v>1.264367816091954</v>
      </c>
      <c r="Y60" s="29">
        <f t="shared" si="24"/>
        <v>0.88438015726628483</v>
      </c>
      <c r="Z60" s="29">
        <f>SUM(N60,T60)/H60</f>
        <v>0.9003311258278146</v>
      </c>
      <c r="AA60" s="29">
        <f t="shared" si="25"/>
        <v>0.97217968351199591</v>
      </c>
      <c r="AB60" s="44">
        <f t="shared" si="18"/>
        <v>0.97217968351199591</v>
      </c>
      <c r="AC60" s="29">
        <f t="shared" si="26"/>
        <v>1.0003436819796081</v>
      </c>
      <c r="AD60" s="3">
        <f t="shared" si="15"/>
        <v>8732000000</v>
      </c>
      <c r="AE60" s="3">
        <f t="shared" si="19"/>
        <v>10876000000</v>
      </c>
      <c r="AG60" s="44">
        <f t="shared" si="10"/>
        <v>1.0823494709598842</v>
      </c>
    </row>
    <row r="61" spans="1:33" x14ac:dyDescent="0.3">
      <c r="A61" s="28" t="s">
        <v>59</v>
      </c>
      <c r="B61" s="28" t="s">
        <v>17</v>
      </c>
      <c r="C61" s="3" t="s">
        <v>66</v>
      </c>
      <c r="D61" s="3" t="s">
        <v>120</v>
      </c>
      <c r="E61" s="3">
        <v>14694000000</v>
      </c>
      <c r="F61" s="3">
        <v>13643000000</v>
      </c>
      <c r="G61" s="3">
        <v>9862000000</v>
      </c>
      <c r="H61" s="3">
        <v>6670000000</v>
      </c>
      <c r="I61" s="3">
        <v>17895000000</v>
      </c>
      <c r="J61" s="3">
        <v>10466000000</v>
      </c>
      <c r="K61" s="3">
        <v>6294000000</v>
      </c>
      <c r="L61" s="3">
        <v>6216000000</v>
      </c>
      <c r="M61" s="3">
        <v>6124000000</v>
      </c>
      <c r="N61" s="3">
        <v>6102000000</v>
      </c>
      <c r="O61" s="3">
        <v>6070000000</v>
      </c>
      <c r="P61" s="3">
        <v>3058000000</v>
      </c>
      <c r="Q61" s="3">
        <v>4112000000</v>
      </c>
      <c r="R61" s="3">
        <v>8298000000</v>
      </c>
      <c r="S61" s="3">
        <v>8296000000</v>
      </c>
      <c r="T61" s="3">
        <v>7410000000</v>
      </c>
      <c r="U61" s="3">
        <v>2733000000</v>
      </c>
      <c r="V61" s="3">
        <v>723000000</v>
      </c>
      <c r="W61" s="29">
        <f t="shared" si="23"/>
        <v>0.70818020960936434</v>
      </c>
      <c r="X61" s="29">
        <f t="shared" si="16"/>
        <v>1.0638422634317966</v>
      </c>
      <c r="Y61" s="29">
        <f t="shared" si="24"/>
        <v>1.4621780571892111</v>
      </c>
      <c r="Z61" s="29">
        <f>SUM(N61,T61)/H61</f>
        <v>2.0257871064467765</v>
      </c>
      <c r="AA61" s="29">
        <f t="shared" si="25"/>
        <v>0.49192511874825368</v>
      </c>
      <c r="AB61" s="44">
        <f t="shared" si="18"/>
        <v>1.0638422634317966</v>
      </c>
      <c r="AC61" s="29">
        <f t="shared" si="26"/>
        <v>0.36126504872921844</v>
      </c>
      <c r="AD61" s="3">
        <f t="shared" si="15"/>
        <v>3781000000</v>
      </c>
      <c r="AE61" s="3">
        <f t="shared" si="19"/>
        <v>13512000000</v>
      </c>
      <c r="AG61" s="44">
        <f t="shared" si="10"/>
        <v>1.2630101603105039</v>
      </c>
    </row>
    <row r="62" spans="1:33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33" x14ac:dyDescent="0.3">
      <c r="AG63" s="1"/>
    </row>
    <row r="64" spans="1:33" x14ac:dyDescent="0.3">
      <c r="A64" s="1" t="s">
        <v>202</v>
      </c>
      <c r="E64" s="7">
        <f t="shared" ref="E64:V64" si="27">SUM(E3:E61)</f>
        <v>406239300000</v>
      </c>
      <c r="F64" s="7">
        <f t="shared" si="27"/>
        <v>572318100000</v>
      </c>
      <c r="G64" s="7">
        <f t="shared" si="27"/>
        <v>572612000000</v>
      </c>
      <c r="H64" s="7">
        <f t="shared" si="27"/>
        <v>655059600000</v>
      </c>
      <c r="I64" s="7">
        <f t="shared" si="27"/>
        <v>496385100000</v>
      </c>
      <c r="J64" s="7">
        <f t="shared" si="27"/>
        <v>152203714087.185</v>
      </c>
      <c r="K64" s="7">
        <f t="shared" si="27"/>
        <v>203028300000</v>
      </c>
      <c r="L64" s="7">
        <f t="shared" si="27"/>
        <v>219224600000</v>
      </c>
      <c r="M64" s="7">
        <f t="shared" si="27"/>
        <v>249055700000</v>
      </c>
      <c r="N64" s="7">
        <f t="shared" si="27"/>
        <v>262026800000</v>
      </c>
      <c r="O64" s="7">
        <f t="shared" si="27"/>
        <v>261724400000</v>
      </c>
      <c r="P64" s="7">
        <f t="shared" si="27"/>
        <v>130962875020.42769</v>
      </c>
      <c r="Q64" s="7">
        <f t="shared" si="27"/>
        <v>150442800000</v>
      </c>
      <c r="R64" s="7">
        <f t="shared" si="27"/>
        <v>169595500000</v>
      </c>
      <c r="S64" s="7">
        <f t="shared" si="27"/>
        <v>278277700000</v>
      </c>
      <c r="T64" s="7">
        <f t="shared" si="27"/>
        <v>311681500000</v>
      </c>
      <c r="U64" s="7">
        <f t="shared" si="27"/>
        <v>272129400000</v>
      </c>
      <c r="V64" s="7">
        <f t="shared" si="27"/>
        <v>138241656771.82788</v>
      </c>
      <c r="W64" s="13">
        <f>SUM(K64,Q64)/E64</f>
        <v>0.87010562493584442</v>
      </c>
      <c r="X64" s="13">
        <f t="shared" ref="X64" si="28">SUM(L64,R64)/F64</f>
        <v>0.67937760486694376</v>
      </c>
      <c r="Y64" s="19">
        <f t="shared" ref="Y64" si="29">SUM(M64,S64)/G64</f>
        <v>0.92092621181533041</v>
      </c>
      <c r="Z64" s="19">
        <f t="shared" ref="Z64" si="30">SUM(N64,T64)/H64</f>
        <v>0.87581084225007921</v>
      </c>
      <c r="AA64" s="13">
        <f t="shared" ref="AA64" si="31">SUM(O64,U64)/I64</f>
        <v>1.0754831279182231</v>
      </c>
      <c r="AB64" s="27">
        <f>AVERAGE(W64:AA64)</f>
        <v>0.88434068235728414</v>
      </c>
      <c r="AC64" s="29">
        <f>SUM(V64,P64)/J64</f>
        <v>1.7687119753073202</v>
      </c>
      <c r="AE64" s="16"/>
      <c r="AG64" s="19">
        <f>AVERAGE(W64:Z64)</f>
        <v>0.83655507096704951</v>
      </c>
    </row>
    <row r="65" spans="1:33" x14ac:dyDescent="0.3">
      <c r="A65" s="1" t="s">
        <v>203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16">
        <f>K64+Q64</f>
        <v>353471100000</v>
      </c>
      <c r="X65" s="16">
        <f>L64+R64</f>
        <v>388820100000</v>
      </c>
      <c r="Y65" s="16">
        <f>M64+S64</f>
        <v>527333400000</v>
      </c>
      <c r="Z65" s="16">
        <f>N64+T64</f>
        <v>573708300000</v>
      </c>
      <c r="AA65" s="16">
        <f>O64+U64</f>
        <v>533853800000</v>
      </c>
      <c r="AB65" s="16">
        <f>AVERAGE(W65,AA65)</f>
        <v>443662450000</v>
      </c>
      <c r="AC65" s="40"/>
      <c r="AD65" s="16">
        <f>SUM(AD3:AD61)</f>
        <v>269204531792.25558</v>
      </c>
      <c r="AE65" s="16"/>
      <c r="AF65" s="73">
        <f>SUM(W65:Z65)</f>
        <v>1843332900000</v>
      </c>
      <c r="AG65" s="7"/>
    </row>
    <row r="66" spans="1:33" x14ac:dyDescent="0.3">
      <c r="A66" s="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6"/>
      <c r="X66" s="16"/>
      <c r="Y66" s="16"/>
      <c r="Z66" s="16"/>
      <c r="AA66" s="16"/>
      <c r="AB66" s="16"/>
      <c r="AC66" s="40"/>
      <c r="AD66" s="16"/>
      <c r="AE66" s="16"/>
      <c r="AG66" s="7"/>
    </row>
    <row r="67" spans="1:33" x14ac:dyDescent="0.3">
      <c r="A67" s="1" t="s">
        <v>130</v>
      </c>
      <c r="E67" s="3">
        <f>SUMIF(C3:C61,"US",E3:E61)</f>
        <v>294969000000</v>
      </c>
      <c r="F67" s="3">
        <f>SUMIF(C3:C61,"US",F3:F61)</f>
        <v>397561000000</v>
      </c>
      <c r="G67" s="3">
        <f>SUMIF(C3:C61,"US",G3:G61)</f>
        <v>351066000000</v>
      </c>
      <c r="H67" s="3">
        <f>SUMIF(C3:C61,"US",H3:H61)</f>
        <v>462148000000</v>
      </c>
      <c r="I67" s="3">
        <f>SUMIF(C3:C61,"US",I3:I61)</f>
        <v>416177000000</v>
      </c>
      <c r="J67" s="3">
        <f>SUMIF(C3:C61,"US",J3:J61)</f>
        <v>168216000000</v>
      </c>
      <c r="K67" s="3">
        <f>SUMIF(C3:C61,"US",K3:K61)</f>
        <v>131764000000</v>
      </c>
      <c r="L67" s="3">
        <f>SUMIF(C3:C61,"US",L3:L61)</f>
        <v>137993000000</v>
      </c>
      <c r="M67" s="3">
        <f>SUMIF(C3:C61,"US",M3:M61)</f>
        <v>148636000000</v>
      </c>
      <c r="N67" s="3">
        <f>SUMIF(C3:C61,"US",N3:N61)</f>
        <v>157503000000</v>
      </c>
      <c r="O67" s="3">
        <f>SUMIF(C3:C61,"US",O3:O61)</f>
        <v>163266000000</v>
      </c>
      <c r="P67" s="3">
        <f>SUMIF(C3:C61,"US",P3:P61)</f>
        <v>78671000000</v>
      </c>
      <c r="Q67" s="3">
        <f>SUMIF(C3:C61,"US",Q3:Q61)</f>
        <v>131730000000</v>
      </c>
      <c r="R67" s="3">
        <f>SUMIF(C3:C61,"US",R3:R61)</f>
        <v>139473000000</v>
      </c>
      <c r="S67" s="3">
        <f>SUMIF(C3:C61,"US",S3:S61)</f>
        <v>240874000000</v>
      </c>
      <c r="T67" s="3">
        <f>SUMIF(C3:C61,"US",T3:T61)</f>
        <v>261698000000</v>
      </c>
      <c r="U67" s="3">
        <f>SUMIF(C3:C61,"US",U3:U61)</f>
        <v>235975000000</v>
      </c>
      <c r="V67" s="3">
        <f>SUMIF(C3:C61,"US",V3:V61)</f>
        <v>127368000000</v>
      </c>
      <c r="W67" s="13">
        <f t="shared" ref="W67:AA67" si="32">SUM(K67,Q67)/E67</f>
        <v>0.89329387155938422</v>
      </c>
      <c r="X67" s="13">
        <f t="shared" si="32"/>
        <v>0.69792057067971958</v>
      </c>
      <c r="Y67" s="19">
        <f t="shared" si="32"/>
        <v>1.1095064745660359</v>
      </c>
      <c r="Z67" s="19">
        <f t="shared" si="32"/>
        <v>0.90707089503795324</v>
      </c>
      <c r="AA67" s="13">
        <f t="shared" si="32"/>
        <v>0.95930577614812929</v>
      </c>
      <c r="AB67" s="27">
        <f>AVERAGE(W67:AA67)</f>
        <v>0.91341951759824447</v>
      </c>
      <c r="AC67" s="29">
        <f>SUM(V67,P67)/J67</f>
        <v>1.2248478147144148</v>
      </c>
    </row>
    <row r="68" spans="1:33" x14ac:dyDescent="0.3">
      <c r="A68" s="1"/>
      <c r="E68" s="3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1"/>
      <c r="X68" s="21"/>
      <c r="Y68" s="21"/>
      <c r="Z68" s="21"/>
      <c r="AA68" s="21"/>
      <c r="AB68" s="22"/>
      <c r="AC68" s="15"/>
    </row>
    <row r="69" spans="1:33" x14ac:dyDescent="0.3">
      <c r="A69" s="1" t="s">
        <v>134</v>
      </c>
      <c r="E69" s="3">
        <f>SUMIF(D3:D61,"Global",E3:E61)</f>
        <v>250456800000</v>
      </c>
      <c r="F69" s="3">
        <f>SUMIF(D3:D61,"Global",F3:F61)</f>
        <v>317041300000</v>
      </c>
      <c r="G69" s="3">
        <f>SUMIF(D3:D61,"Global",G3:G61)</f>
        <v>402408000000</v>
      </c>
      <c r="H69" s="3">
        <f>SUMIF(D3:D61,"Global",H3:H61)</f>
        <v>375220100000</v>
      </c>
      <c r="I69" s="3">
        <f>SUMIF(D3:D61,"Global",I3:I61)</f>
        <v>304653700000</v>
      </c>
      <c r="J69" s="3">
        <f>SUMIF(D3:D61,"Global",J3:J61)</f>
        <v>108547848162.955</v>
      </c>
      <c r="K69" s="3">
        <f>SUMIF(D3:D61,"Global",K3:K61)</f>
        <v>145173900000</v>
      </c>
      <c r="L69" s="3">
        <f>SUMIF(D3:D61,"Global",L3:L61)</f>
        <v>156143700000</v>
      </c>
      <c r="M69" s="3">
        <f>SUMIF(D3:D61,"Global",M3:M61)</f>
        <v>177296800000</v>
      </c>
      <c r="N69" s="3">
        <f>SUMIF(D3:D61,"Global",N3:N61)</f>
        <v>184858100000</v>
      </c>
      <c r="O69" s="3">
        <f>SUMIF(D3:D61,"Global",O3:O61)</f>
        <v>184256400000</v>
      </c>
      <c r="P69" s="3">
        <f>SUMIF(D3:D61,"Global",P3:P61)</f>
        <v>98898135145.440002</v>
      </c>
      <c r="Q69" s="3">
        <f>SUMIF(D3:D61,"Global",Q3:Q61)</f>
        <v>99301500000</v>
      </c>
      <c r="R69" s="3">
        <f>SUMIF(D3:D61,"Global",R3:R61)</f>
        <v>114105200000</v>
      </c>
      <c r="S69" s="3">
        <f>SUMIF(D3:D61,"Global",S3:S61)</f>
        <v>181319800000</v>
      </c>
      <c r="T69" s="3">
        <f>SUMIF(D3:D61,"Global",T3:T61)</f>
        <v>201805000000</v>
      </c>
      <c r="U69" s="3">
        <f>SUMIF(D3:D61,"Global",U3:U61)</f>
        <v>194166600000</v>
      </c>
      <c r="V69" s="3">
        <f>SUMIF(D3:D61,"Global",V3:V61)</f>
        <v>107003336676.78</v>
      </c>
      <c r="W69" s="19">
        <f>SUM(K69,Q69)/E69</f>
        <v>0.97611803712256962</v>
      </c>
      <c r="X69" s="19">
        <f>SUM(L69,R69)/F69</f>
        <v>0.85240913407811536</v>
      </c>
      <c r="Y69" s="19">
        <f>SUM(M69,S69)/G69</f>
        <v>0.89117661676706228</v>
      </c>
      <c r="Z69" s="19">
        <f>SUM(N69,T69)/H69</f>
        <v>1.0304967670974983</v>
      </c>
      <c r="AA69" s="19">
        <f>SUM(O69,U69)/I69</f>
        <v>1.2421414872033394</v>
      </c>
      <c r="AB69" s="74">
        <f>AVERAGE(W69:AA69)</f>
        <v>0.99846840845371698</v>
      </c>
      <c r="AC69" s="13">
        <f>SUM(V69,P69)/J69</f>
        <v>1.8968729026586972</v>
      </c>
      <c r="AG69" s="7"/>
    </row>
    <row r="70" spans="1:33" x14ac:dyDescent="0.3">
      <c r="A70" s="1" t="s">
        <v>199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W70" s="3">
        <f>Q69+K69</f>
        <v>244475400000</v>
      </c>
      <c r="X70" s="3">
        <f>R69+L69</f>
        <v>270248900000</v>
      </c>
      <c r="Y70" s="3">
        <f>S69+M69</f>
        <v>358616600000</v>
      </c>
      <c r="Z70" s="3">
        <f>T69+N69</f>
        <v>386663100000</v>
      </c>
      <c r="AA70" s="3">
        <f>U69+O69</f>
        <v>378423000000</v>
      </c>
      <c r="AB70" s="75">
        <f>AVERAGE(W70,AA70)</f>
        <v>311449200000</v>
      </c>
      <c r="AC70" s="75"/>
      <c r="AD70" s="3">
        <f>V69+P69</f>
        <v>205901471822.22</v>
      </c>
      <c r="AF70" s="76">
        <f>SUM(W70:Z70)</f>
        <v>1260004000000</v>
      </c>
    </row>
    <row r="71" spans="1:33" x14ac:dyDescent="0.3">
      <c r="A71" s="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W71" s="3"/>
      <c r="X71" s="3"/>
      <c r="Y71" s="3"/>
      <c r="Z71" s="3"/>
      <c r="AA71" s="3"/>
      <c r="AB71" s="75"/>
      <c r="AC71" s="75"/>
    </row>
    <row r="72" spans="1:33" x14ac:dyDescent="0.3">
      <c r="A72" s="1" t="s">
        <v>175</v>
      </c>
      <c r="E72" s="3">
        <f>SUM(SUMIFS(E2:E61,A2:A61,{"Microsoft","Apple","Facebook","Intel","Merck","Roche","Nestlé","Visa","Johnson &amp; Johnson","Roche","Amazon","CVS Health","Walmart","BUA Cement","BHP","Google","UnitedHealth","Cisco Systems","Oracle","Home Depot","Deutsche Telekom","Eletrobrás","Crédit Agricole","Telecom Italia","Reliance Industries","ASML","AbbVie","Power Grid Corporation of India","Tata Consultancy","Novo Nordisk","Pfizer","AngloGold Ashanti"}))</f>
        <v>245696300000</v>
      </c>
      <c r="F72" s="3">
        <f>SUM(SUMIFS(F2:F61,A2:A61,{"Microsoft","Apple","Facebook","Intel","Merck","Roche","Nestlé","Visa","Johnson &amp; Johnson","Roche","Amazon","CVS Health","Walmart","BUA Cement","BHP","Google","UnitedHealth","Cisco Systems","Oracle","Home Depot","Deutsche Telekom","Eletrobrás","Crédit Agricole","Telecom Italia","Reliance Industries","ASML","AbbVie","Power Grid Corporation of India","Tata Consultancy","Novo Nordisk","Pfizer","AngloGold Ashanti"}))</f>
        <v>264658100000</v>
      </c>
      <c r="G72" s="3">
        <f>SUM(SUMIFS(G2:G61,A2:A61,{"Microsoft","Apple","Facebook","Intel","Merck","Roche","Nestlé","Visa","Johnson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319421600000</v>
      </c>
      <c r="H72" s="3">
        <f>SUM(SUMIFS(H2:H61,A2:A61,{"Microsoft","Apple","Facebook","Intel","Merck","Roche","Nestlé","Visa","Johnson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391148800000</v>
      </c>
      <c r="I72" s="3">
        <f>SUM(SUMIFS(I2:I61,A2:A61,{"Microsoft","Apple","Facebook","Intel","Merck","Roche","Nestlé","Visa","Johnson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426552400000</v>
      </c>
      <c r="J72" s="3">
        <f>SUM(SUMIFS(J2:J61,A2:A61,{"Microsoft","Apple","Facebook","Intel","Merck","Roche","Nestlé","Visa","Johnson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207269392404.33801</v>
      </c>
      <c r="K72" s="3">
        <f>SUM(SUMIFS(K2:K61,A2:A61,{"Microsoft","Apple","Facebook","Intel","Merck","Roche","Nestlé","Visa","Johnson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118389600000</v>
      </c>
      <c r="L72" s="3">
        <f>SUM(SUMIFS(L2:L61,A2:A61,{"Microsoft","Apple","Facebook","Intel","Merck","Roche","Nestlé","Visa","Johnson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122203000000</v>
      </c>
      <c r="M72" s="3">
        <f>SUM(SUMIFS(M2:M61,A2:A61,{"Microsoft","Apple","Facebook","Intel","Merck","Roche","Nestlé","Visa","Johnson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133935200000</v>
      </c>
      <c r="N72" s="3">
        <f>SUM(SUMIFS(N2:N61,A2:A61,{"Microsoft","Apple","Facebook","Intel","Merck","Roche","Nestlé","Visa","Johnson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143977000000</v>
      </c>
      <c r="O72" s="3">
        <f>SUM(SUMIFS(O2:O61,A2:A61,{"Microsoft","Apple","Facebook","Intel","Merck","Roche","Nestlé","Visa","Johnson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149380900000</v>
      </c>
      <c r="P72" s="3">
        <f>SUM(SUMIFS(P2:P61,A2:A61,{"Microsoft","Apple","Facebook","Intel","Merck","Roche","Nestlé","Visa","Johnson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76979961781.188995</v>
      </c>
      <c r="Q72" s="3">
        <f>SUM(SUMIFS(Q2:Q61,A2:A61,{"Microsoft","Apple","Facebook","Intel","Merck","Roche","Nestlé","Visa","Johnson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124012500000</v>
      </c>
      <c r="R72" s="3">
        <f>SUM(SUMIFS(R2:R61,A2:A61,{"Microsoft","Apple","Facebook","Intel","Merck","Roche","Nestlé","Visa","Johnson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124176200000</v>
      </c>
      <c r="S72" s="3">
        <f>SUM(SUMIFS(S2:S61,A2:A61,{"Microsoft","Apple","Facebook","Intel","Merck","Roche","Nestlé","Visa","Johnson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237588400000</v>
      </c>
      <c r="T72" s="3">
        <f>SUM(SUMIFS(T2:T61,A2:A61,{"Microsoft","Apple","Facebook","Intel","Merck","Roche","Nestlé","Visa","Johnson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263440900000</v>
      </c>
      <c r="U72" s="3">
        <f>SUM(SUMIFS(U2:U61,A2:A61,{"Microsoft","Apple","Facebook","Intel","Merck","Roche","Nestlé","Visa","Johnson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223305900000</v>
      </c>
      <c r="V72" s="3">
        <f>SUM(SUMIFS(V2:V61,A2:A61,{"Microsoft","Apple","Facebook","Intel","Merck","Roche","Nestlé","Visa","Johnson &amp; Johnson","Roche","Amazon","CVS Health","Walmart","Procter &amp; Gamble","BUA Cement","MTN Group","BHP","Google","UnitedHealth","Cisco Systems","Oracle","Home Depot","Deutsche Telekom","Crédit Agricole Group","Telecom Italia","Reliance Industries","ASML","AbbVie","Power Grid Corporation of India","Tata Consultancy","Novo Nordisk","Pfizer","AngloGold Ashanti"}))</f>
        <v>117879168063.57588</v>
      </c>
      <c r="W72" s="19">
        <f>SUM(K72,Q72)/E72</f>
        <v>0.98659239068720206</v>
      </c>
      <c r="X72" s="19">
        <f>SUM(L72,R72)/F72</f>
        <v>0.93093391058123665</v>
      </c>
      <c r="Y72" s="19">
        <f>SUM(M72,S72)/G72</f>
        <v>1.1631135777918589</v>
      </c>
      <c r="Z72" s="19">
        <f>SUM(N72,T72)/H72</f>
        <v>1.041593122617275</v>
      </c>
      <c r="AA72" s="19">
        <f>SUM(O72,U72)/I72</f>
        <v>0.87371868028406352</v>
      </c>
      <c r="AB72" s="74">
        <f>AVERAGE(W72:AA72)</f>
        <v>0.99919033639232713</v>
      </c>
      <c r="AC72" s="13">
        <f>SUM(V72,P72)/J72</f>
        <v>0.94012496290159731</v>
      </c>
    </row>
    <row r="73" spans="1:33" x14ac:dyDescent="0.3">
      <c r="A73" s="1" t="s">
        <v>208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f>Q72+K72</f>
        <v>242402100000</v>
      </c>
      <c r="X73" s="3">
        <f>R72+L72</f>
        <v>246379200000</v>
      </c>
      <c r="Y73" s="3">
        <f>S72+M72</f>
        <v>371523600000</v>
      </c>
      <c r="Z73" s="3">
        <f>T72+N72</f>
        <v>407417900000</v>
      </c>
      <c r="AA73" s="3">
        <f>U72+O72</f>
        <v>372686800000</v>
      </c>
      <c r="AB73" s="75">
        <f>AVERAGE(W73,AA73)</f>
        <v>307544450000</v>
      </c>
      <c r="AC73" s="3"/>
      <c r="AD73" s="3">
        <f>V72+P72</f>
        <v>194859129844.76489</v>
      </c>
      <c r="AF73" s="73">
        <f>SUM(W73:Z73)</f>
        <v>1267722800000</v>
      </c>
    </row>
    <row r="74" spans="1:33" x14ac:dyDescent="0.3">
      <c r="AB74" s="9"/>
      <c r="AC74" s="9"/>
    </row>
    <row r="75" spans="1:33" x14ac:dyDescent="0.3">
      <c r="A75" s="1" t="s">
        <v>180</v>
      </c>
      <c r="E75" s="3">
        <f>SUMIF(B3:B61,"Pharmaceutical",E3:E61)</f>
        <v>55152200000</v>
      </c>
      <c r="F75" s="3">
        <f>SUMIF(B3:B61,"Pharmaceutical",F3:F61)</f>
        <v>53021400000</v>
      </c>
      <c r="G75" s="3">
        <f>SUMIF(B3:B61,"Pharmaceutical",G3:G61)</f>
        <v>67564200000</v>
      </c>
      <c r="H75" s="3">
        <f>SUMIF(B3:B61,"Pharmaceutical",H3:H61)</f>
        <v>80635100000</v>
      </c>
      <c r="I75" s="3">
        <f>SUMIF(B3:B61,"Pharmaceutical",I3:I61)</f>
        <v>73937700000</v>
      </c>
      <c r="J75" s="3">
        <f>SUMIF(B3:B61,"Pharmaceutical",J3:J61)</f>
        <v>40264336786.709999</v>
      </c>
      <c r="K75" s="3">
        <f>SUMIF(B3:B61,"Pharmaceutical",K3:K61)</f>
        <v>41439700000</v>
      </c>
      <c r="L75" s="3">
        <f>SUMIF(B3:B61,"Pharmaceutical",L3:L61)</f>
        <v>42590700000</v>
      </c>
      <c r="M75" s="3">
        <f>SUMIF(B3:B61,"Pharmaceutical",M3:M61)</f>
        <v>45321600000</v>
      </c>
      <c r="N75" s="3">
        <f>SUMIF(B3:B61,"Pharmaceutical",N3:N61)</f>
        <v>47272400000</v>
      </c>
      <c r="O75" s="3">
        <f>SUMIF(B3:B61,"Pharmaceutical",O3:O61)</f>
        <v>49086000000</v>
      </c>
      <c r="P75" s="3">
        <f>SUMIF(B3:B61,"Pharmaceutical",P3:P61)</f>
        <v>33034798003.605</v>
      </c>
      <c r="Q75" s="3">
        <f>SUMIF(B3:B61,"Pharmaceutical",Q3:Q61)</f>
        <v>27221300000</v>
      </c>
      <c r="R75" s="3">
        <f>SUMIF(B3:B61,"Pharmaceutical",R3:R61)</f>
        <v>25384100000</v>
      </c>
      <c r="S75" s="3">
        <f>SUMIF(B3:B61,"Pharmaceutical",S3:S61)</f>
        <v>44063500000</v>
      </c>
      <c r="T75" s="3">
        <f>SUMIF(B3:B61,"Pharmaceutical",T3:T61)</f>
        <v>29896800000</v>
      </c>
      <c r="U75" s="3">
        <f>SUMIF(B3:B61,"Pharmaceutical",U3:U61)</f>
        <v>16483000000</v>
      </c>
      <c r="V75" s="3">
        <f>SUMIF(B3:B61,"Pharmaceutical",V3:V61)</f>
        <v>7206460572.0249996</v>
      </c>
      <c r="W75" s="13">
        <f t="shared" ref="W75" si="33">SUM(K75,Q75)/E75</f>
        <v>1.2449367386976404</v>
      </c>
      <c r="X75" s="13">
        <f t="shared" ref="X75" si="34">SUM(L75,R75)/F75</f>
        <v>1.2820257480941657</v>
      </c>
      <c r="Y75" s="19">
        <f t="shared" ref="Y75" si="35">SUM(M75,S75)/G75</f>
        <v>1.3229654165963631</v>
      </c>
      <c r="Z75" s="19">
        <f t="shared" ref="Z75" si="36">SUM(N75,T75)/H75</f>
        <v>0.95701747750049293</v>
      </c>
      <c r="AA75" s="13">
        <f t="shared" ref="AA75" si="37">SUM(O75,U75)/I75</f>
        <v>0.886814169226254</v>
      </c>
      <c r="AB75" s="74">
        <f>AVERAGE(W75:AA75)</f>
        <v>1.138751910022983</v>
      </c>
      <c r="AC75" s="13">
        <f>SUM(V75,P75)/J75</f>
        <v>0.99942683245467934</v>
      </c>
      <c r="AD75" s="7">
        <f>SUM(V75,P75)</f>
        <v>40241258575.629997</v>
      </c>
    </row>
  </sheetData>
  <autoFilter ref="A2:AG61" xr:uid="{EEF68AED-7641-4B72-BC6A-53B30A46EBA1}"/>
  <pageMargins left="0.7" right="0.7" top="0.75" bottom="0.75" header="0.3" footer="0.3"/>
  <pageSetup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04C5-9D2B-433F-AF0E-CBEC8CC87537}">
  <dimension ref="A1:G26"/>
  <sheetViews>
    <sheetView zoomScale="60" zoomScaleNormal="60" workbookViewId="0">
      <selection activeCell="C6" sqref="C6"/>
    </sheetView>
  </sheetViews>
  <sheetFormatPr defaultColWidth="9.21875" defaultRowHeight="14.4" x14ac:dyDescent="0.3"/>
  <cols>
    <col min="1" max="1" width="9.33203125" style="9" bestFit="1" customWidth="1"/>
    <col min="2" max="2" width="25.33203125" style="9" customWidth="1"/>
    <col min="3" max="3" width="9.21875" style="9"/>
    <col min="4" max="4" width="18.6640625" style="9" customWidth="1"/>
    <col min="5" max="16384" width="9.21875" style="9"/>
  </cols>
  <sheetData>
    <row r="1" spans="1:7" x14ac:dyDescent="0.3">
      <c r="A1" s="28"/>
      <c r="B1" s="28" t="s">
        <v>96</v>
      </c>
      <c r="C1" s="28" t="s">
        <v>97</v>
      </c>
      <c r="D1" s="28" t="s">
        <v>98</v>
      </c>
      <c r="E1" s="28"/>
      <c r="F1" s="28" t="s">
        <v>201</v>
      </c>
      <c r="G1" s="28"/>
    </row>
    <row r="2" spans="1:7" x14ac:dyDescent="0.3">
      <c r="A2" s="28">
        <v>1</v>
      </c>
      <c r="B2" s="28" t="s">
        <v>99</v>
      </c>
      <c r="C2" s="28" t="s">
        <v>100</v>
      </c>
      <c r="D2" s="53">
        <v>77305</v>
      </c>
      <c r="E2" s="28"/>
      <c r="F2" s="28" t="s">
        <v>117</v>
      </c>
      <c r="G2" s="28"/>
    </row>
    <row r="3" spans="1:7" x14ac:dyDescent="0.3">
      <c r="A3" s="28">
        <f t="shared" ref="A3:A26" si="0">SUM(1+A2)</f>
        <v>2</v>
      </c>
      <c r="B3" s="28" t="s">
        <v>101</v>
      </c>
      <c r="C3" s="28" t="s">
        <v>100</v>
      </c>
      <c r="D3" s="53">
        <v>65755</v>
      </c>
      <c r="E3" s="28"/>
      <c r="F3" s="28" t="s">
        <v>118</v>
      </c>
      <c r="G3" s="28"/>
    </row>
    <row r="4" spans="1:7" x14ac:dyDescent="0.3">
      <c r="A4" s="28">
        <f t="shared" si="0"/>
        <v>3</v>
      </c>
      <c r="B4" s="28" t="s">
        <v>102</v>
      </c>
      <c r="C4" s="28" t="s">
        <v>100</v>
      </c>
      <c r="D4" s="53">
        <v>48300</v>
      </c>
      <c r="E4" s="28"/>
      <c r="F4" s="28"/>
      <c r="G4" s="28"/>
    </row>
    <row r="5" spans="1:7" x14ac:dyDescent="0.3">
      <c r="A5" s="28">
        <f t="shared" si="0"/>
        <v>4</v>
      </c>
      <c r="B5" s="28" t="s">
        <v>70</v>
      </c>
      <c r="C5" s="28" t="s">
        <v>100</v>
      </c>
      <c r="D5" s="53">
        <v>47386.9</v>
      </c>
      <c r="E5" s="28"/>
      <c r="F5" s="28"/>
    </row>
    <row r="6" spans="1:7" x14ac:dyDescent="0.3">
      <c r="A6" s="28">
        <f t="shared" si="0"/>
        <v>5</v>
      </c>
      <c r="B6" s="28" t="s">
        <v>72</v>
      </c>
      <c r="C6" s="28" t="s">
        <v>100</v>
      </c>
      <c r="D6" s="53">
        <v>41955</v>
      </c>
      <c r="E6" s="28"/>
      <c r="F6" s="28"/>
    </row>
    <row r="7" spans="1:7" x14ac:dyDescent="0.3">
      <c r="A7" s="28">
        <f t="shared" si="0"/>
        <v>6</v>
      </c>
      <c r="B7" s="28" t="s">
        <v>103</v>
      </c>
      <c r="C7" s="28" t="s">
        <v>100</v>
      </c>
      <c r="D7" s="53">
        <v>38119</v>
      </c>
      <c r="E7" s="28"/>
      <c r="F7" s="28"/>
    </row>
    <row r="8" spans="1:7" x14ac:dyDescent="0.3">
      <c r="A8" s="28">
        <f t="shared" si="0"/>
        <v>7</v>
      </c>
      <c r="B8" s="28" t="s">
        <v>74</v>
      </c>
      <c r="C8" s="28" t="s">
        <v>100</v>
      </c>
      <c r="D8" s="53">
        <v>37544.300000000003</v>
      </c>
      <c r="E8" s="28"/>
      <c r="F8" s="28"/>
    </row>
    <row r="9" spans="1:7" x14ac:dyDescent="0.3">
      <c r="A9" s="28">
        <f t="shared" si="0"/>
        <v>8</v>
      </c>
      <c r="B9" s="28" t="s">
        <v>104</v>
      </c>
      <c r="C9" s="28" t="s">
        <v>100</v>
      </c>
      <c r="D9" s="53">
        <v>36270</v>
      </c>
      <c r="E9" s="28"/>
      <c r="F9" s="28"/>
    </row>
    <row r="10" spans="1:7" x14ac:dyDescent="0.3">
      <c r="A10" s="28">
        <f t="shared" si="0"/>
        <v>9</v>
      </c>
      <c r="B10" s="28" t="s">
        <v>105</v>
      </c>
      <c r="C10" s="28" t="s">
        <v>100</v>
      </c>
      <c r="D10" s="53">
        <v>34191</v>
      </c>
      <c r="E10" s="28"/>
      <c r="F10" s="28"/>
    </row>
    <row r="11" spans="1:7" x14ac:dyDescent="0.3">
      <c r="A11" s="28">
        <f t="shared" si="0"/>
        <v>10</v>
      </c>
      <c r="B11" s="28" t="s">
        <v>106</v>
      </c>
      <c r="C11" s="28" t="s">
        <v>100</v>
      </c>
      <c r="D11" s="53">
        <v>28558</v>
      </c>
      <c r="E11" s="28"/>
      <c r="F11" s="28"/>
    </row>
    <row r="12" spans="1:7" x14ac:dyDescent="0.3">
      <c r="A12" s="28">
        <f t="shared" si="0"/>
        <v>11</v>
      </c>
      <c r="B12" s="28" t="s">
        <v>107</v>
      </c>
      <c r="C12" s="28" t="s">
        <v>100</v>
      </c>
      <c r="D12" s="53">
        <v>28253</v>
      </c>
      <c r="E12" s="28"/>
      <c r="F12" s="28"/>
    </row>
    <row r="13" spans="1:7" x14ac:dyDescent="0.3">
      <c r="A13" s="28">
        <f t="shared" si="0"/>
        <v>12</v>
      </c>
      <c r="B13" s="28" t="s">
        <v>108</v>
      </c>
      <c r="C13" s="28" t="s">
        <v>100</v>
      </c>
      <c r="D13" s="53">
        <v>27210</v>
      </c>
      <c r="E13" s="28"/>
      <c r="F13" s="28"/>
    </row>
    <row r="14" spans="1:7" x14ac:dyDescent="0.3">
      <c r="A14" s="28">
        <f t="shared" si="0"/>
        <v>13</v>
      </c>
      <c r="B14" s="28" t="s">
        <v>109</v>
      </c>
      <c r="C14" s="28" t="s">
        <v>100</v>
      </c>
      <c r="D14" s="53">
        <v>27016</v>
      </c>
      <c r="E14" s="28"/>
      <c r="F14" s="28"/>
    </row>
    <row r="15" spans="1:7" x14ac:dyDescent="0.3">
      <c r="A15" s="28">
        <f t="shared" si="0"/>
        <v>14</v>
      </c>
      <c r="B15" s="28" t="s">
        <v>78</v>
      </c>
      <c r="C15" s="28" t="s">
        <v>100</v>
      </c>
      <c r="D15" s="53">
        <v>26489</v>
      </c>
      <c r="E15" s="28"/>
      <c r="F15" s="28"/>
    </row>
    <row r="16" spans="1:7" x14ac:dyDescent="0.3">
      <c r="A16" s="28">
        <f t="shared" si="0"/>
        <v>15</v>
      </c>
      <c r="B16" s="28" t="s">
        <v>80</v>
      </c>
      <c r="C16" s="28" t="s">
        <v>100</v>
      </c>
      <c r="D16" s="53">
        <v>25450.3</v>
      </c>
      <c r="E16" s="28"/>
      <c r="F16" s="28"/>
    </row>
    <row r="17" spans="1:6" x14ac:dyDescent="0.3">
      <c r="A17" s="28">
        <f t="shared" si="0"/>
        <v>16</v>
      </c>
      <c r="B17" s="28" t="s">
        <v>110</v>
      </c>
      <c r="C17" s="28" t="s">
        <v>100</v>
      </c>
      <c r="D17" s="53">
        <v>23602</v>
      </c>
      <c r="E17" s="28"/>
      <c r="F17" s="28"/>
    </row>
    <row r="18" spans="1:6" x14ac:dyDescent="0.3">
      <c r="A18" s="28">
        <f t="shared" si="0"/>
        <v>17</v>
      </c>
      <c r="B18" s="28" t="s">
        <v>83</v>
      </c>
      <c r="C18" s="28" t="s">
        <v>100</v>
      </c>
      <c r="D18" s="53">
        <v>23585</v>
      </c>
      <c r="E18" s="28"/>
      <c r="F18" s="28"/>
    </row>
    <row r="19" spans="1:6" x14ac:dyDescent="0.3">
      <c r="A19" s="28">
        <f t="shared" si="0"/>
        <v>18</v>
      </c>
      <c r="B19" s="28" t="s">
        <v>111</v>
      </c>
      <c r="C19" s="28" t="s">
        <v>100</v>
      </c>
      <c r="D19" s="53">
        <v>20530</v>
      </c>
      <c r="E19" s="28"/>
      <c r="F19" s="28"/>
    </row>
    <row r="20" spans="1:6" x14ac:dyDescent="0.3">
      <c r="A20" s="28">
        <f t="shared" si="0"/>
        <v>19</v>
      </c>
      <c r="B20" s="28" t="s">
        <v>86</v>
      </c>
      <c r="C20" s="28" t="s">
        <v>100</v>
      </c>
      <c r="D20" s="53">
        <v>19283.599999999999</v>
      </c>
      <c r="E20" s="28"/>
      <c r="F20" s="28"/>
    </row>
    <row r="21" spans="1:6" x14ac:dyDescent="0.3">
      <c r="A21" s="28">
        <f t="shared" si="0"/>
        <v>20</v>
      </c>
      <c r="B21" s="28" t="s">
        <v>112</v>
      </c>
      <c r="C21" s="28" t="s">
        <v>100</v>
      </c>
      <c r="D21" s="53">
        <v>19059</v>
      </c>
      <c r="E21" s="28"/>
      <c r="F21" s="28"/>
    </row>
    <row r="22" spans="1:6" x14ac:dyDescent="0.3">
      <c r="A22" s="28">
        <f t="shared" si="0"/>
        <v>21</v>
      </c>
      <c r="B22" s="28" t="s">
        <v>113</v>
      </c>
      <c r="C22" s="28" t="s">
        <v>100</v>
      </c>
      <c r="D22" s="53">
        <v>19058</v>
      </c>
      <c r="E22" s="28"/>
      <c r="F22" s="28"/>
    </row>
    <row r="23" spans="1:6" x14ac:dyDescent="0.3">
      <c r="A23" s="28">
        <f t="shared" si="0"/>
        <v>22</v>
      </c>
      <c r="B23" s="28" t="s">
        <v>114</v>
      </c>
      <c r="C23" s="28" t="s">
        <v>100</v>
      </c>
      <c r="D23" s="53">
        <v>18755</v>
      </c>
      <c r="E23" s="28"/>
      <c r="F23" s="28"/>
    </row>
    <row r="24" spans="1:6" x14ac:dyDescent="0.3">
      <c r="A24" s="28">
        <f t="shared" si="0"/>
        <v>23</v>
      </c>
      <c r="B24" s="28" t="s">
        <v>87</v>
      </c>
      <c r="C24" s="28" t="s">
        <v>100</v>
      </c>
      <c r="D24" s="53">
        <v>18102</v>
      </c>
      <c r="E24" s="28"/>
      <c r="F24" s="28"/>
    </row>
    <row r="25" spans="1:6" x14ac:dyDescent="0.3">
      <c r="A25" s="28">
        <f t="shared" si="0"/>
        <v>24</v>
      </c>
      <c r="B25" s="28" t="s">
        <v>115</v>
      </c>
      <c r="C25" s="28" t="s">
        <v>100</v>
      </c>
      <c r="D25" s="53">
        <v>15295</v>
      </c>
      <c r="E25" s="28"/>
      <c r="F25" s="28"/>
    </row>
    <row r="26" spans="1:6" x14ac:dyDescent="0.3">
      <c r="A26" s="28">
        <f t="shared" si="0"/>
        <v>25</v>
      </c>
      <c r="B26" s="28" t="s">
        <v>116</v>
      </c>
      <c r="C26" s="28" t="s">
        <v>100</v>
      </c>
      <c r="D26" s="53">
        <v>14910.8</v>
      </c>
      <c r="E26" s="28"/>
      <c r="F26" s="28"/>
    </row>
  </sheetData>
  <autoFilter ref="A1:F1" xr:uid="{E92C862D-DB23-4662-AAF9-07A6A8A55252}">
    <sortState ref="A2:F26">
      <sortCondition descending="1" ref="D1"/>
    </sortState>
  </autoFilter>
  <pageMargins left="0.7" right="0.7" top="0.75" bottom="0.75" header="0.3" footer="0.3"/>
  <pageSetup orientation="portrait" horizontalDpi="4294967293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Summary&amp;Graphs</vt:lpstr>
      <vt:lpstr>PandemicProfitSample</vt:lpstr>
      <vt:lpstr>OilLossShareholderGain</vt:lpstr>
      <vt:lpstr>Payouts-Apparel</vt:lpstr>
      <vt:lpstr>DATA-ProfitsFullSample</vt:lpstr>
      <vt:lpstr>DATA-PayoutsFullSample </vt:lpstr>
      <vt:lpstr>GlobalSample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Lusiani</dc:creator>
  <cp:lastModifiedBy>Helen Wishart</cp:lastModifiedBy>
  <dcterms:created xsi:type="dcterms:W3CDTF">2020-06-02T11:46:00Z</dcterms:created>
  <dcterms:modified xsi:type="dcterms:W3CDTF">2020-09-09T15:12:45Z</dcterms:modified>
</cp:coreProperties>
</file>